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li groups" sheetId="1" r:id="rId5"/>
    <sheet state="visible" name="Quali top" sheetId="2" r:id="rId6"/>
    <sheet state="visible" name="Tandems" sheetId="3" r:id="rId7"/>
    <sheet state="visible" name="Stage standings" sheetId="4" r:id="rId8"/>
    <sheet state="visible" name="LV stage results" sheetId="5" r:id="rId9"/>
    <sheet state="visible" name="Overall standings" sheetId="6" r:id="rId10"/>
    <sheet state="visible" name="Latvia standings" sheetId="7" r:id="rId11"/>
    <sheet state="visible" name="Teams standings" sheetId="8" r:id="rId12"/>
    <sheet state="visible" name="info" sheetId="9" r:id="rId13"/>
  </sheets>
  <definedNames/>
  <calcPr/>
</workbook>
</file>

<file path=xl/sharedStrings.xml><?xml version="1.0" encoding="utf-8"?>
<sst xmlns="http://schemas.openxmlformats.org/spreadsheetml/2006/main" count="25" uniqueCount="25">
  <si>
    <t>Stage position</t>
  </si>
  <si>
    <t>Quali pos.</t>
  </si>
  <si>
    <t>Auto nr.</t>
  </si>
  <si>
    <t>Name</t>
  </si>
  <si>
    <t>Country</t>
  </si>
  <si>
    <t>Car</t>
  </si>
  <si>
    <t>Team</t>
  </si>
  <si>
    <t>Tandem points</t>
  </si>
  <si>
    <t>Quali points</t>
  </si>
  <si>
    <t>Stage points</t>
  </si>
  <si>
    <t>A</t>
  </si>
  <si>
    <t>B</t>
  </si>
  <si>
    <t>C</t>
  </si>
  <si>
    <t>D</t>
  </si>
  <si>
    <t>E</t>
  </si>
  <si>
    <t>F</t>
  </si>
  <si>
    <t>G</t>
  </si>
  <si>
    <t>H</t>
  </si>
  <si>
    <t>Line judge</t>
  </si>
  <si>
    <t>Angle judge</t>
  </si>
  <si>
    <t>Style judge</t>
  </si>
  <si>
    <t>Data prepared by:</t>
  </si>
  <si>
    <t>Racing Team Riga Head Judge</t>
  </si>
  <si>
    <t>Armands Birģelis</t>
  </si>
  <si>
    <t>armands.birgelis@gmail.com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</si>
</sst>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7">
    <font>
      <sz val="10.0"/>
      <color rgb="FF000000"/>
      <name val="Arial"/>
      <scheme val="minor"/>
    </font>
    <font>
      <color theme="1"/>
      <name val="Arial"/>
    </font>
    <font>
      <color rgb="FF000000"/>
      <name val="Arial"/>
    </font>
    <font>
      <color theme="0"/>
      <name val="Arial"/>
    </font>
    <font>
      <b/>
      <color rgb="FFFFFFFF"/>
      <name val="Arial"/>
    </font>
    <font>
      <color rgb="FFFFFFFF"/>
      <name val="Arial"/>
      <scheme val="minor"/>
    </font>
    <font>
      <color rgb="FFFFFFFF"/>
      <name val="Arial"/>
    </font>
    <font>
      <color theme="1"/>
      <name val="Arial"/>
      <scheme val="minor"/>
    </font>
    <font>
      <sz val="46.0"/>
      <color theme="1"/>
      <name val="Arial"/>
    </font>
    <font>
      <b/>
      <sz val="20.0"/>
      <color rgb="FF000000"/>
      <name val="Arial"/>
    </font>
    <font/>
    <font>
      <sz val="10.0"/>
      <color theme="0"/>
      <name val="Arial"/>
    </font>
    <font>
      <b/>
      <color rgb="FF000000"/>
      <name val="Arial"/>
    </font>
    <font>
      <b/>
      <sz val="11.0"/>
      <color rgb="FF000000"/>
      <name val="Arial"/>
    </font>
    <font>
      <b/>
      <color theme="0"/>
      <name val="Arial"/>
    </font>
    <font>
      <sz val="16.0"/>
      <color theme="1"/>
      <name val="Arial"/>
    </font>
    <font>
      <color rgb="FF000000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666666"/>
        <bgColor rgb="FF666666"/>
      </patternFill>
    </fill>
    <fill>
      <patternFill patternType="solid">
        <fgColor rgb="FF000000"/>
        <bgColor rgb="FF000000"/>
      </patternFill>
    </fill>
    <fill>
      <patternFill patternType="solid">
        <fgColor rgb="FFD30B30"/>
        <bgColor rgb="FFD30B30"/>
      </patternFill>
    </fill>
    <fill>
      <patternFill patternType="solid">
        <fgColor rgb="FFD0E0E3"/>
        <bgColor rgb="FFD0E0E3"/>
      </patternFill>
    </fill>
    <fill>
      <patternFill patternType="solid">
        <fgColor rgb="FFA2C4C9"/>
        <bgColor rgb="FFA2C4C9"/>
      </patternFill>
    </fill>
    <fill>
      <patternFill patternType="solid">
        <fgColor rgb="FFFF0000"/>
        <bgColor rgb="FFFF0000"/>
      </patternFill>
    </fill>
  </fills>
  <borders count="2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bottom style="thick">
        <color rgb="FF000000"/>
      </bottom>
    </border>
    <border>
      <right style="thick">
        <color rgb="FF000000"/>
      </right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horizontal="right" vertical="bottom"/>
    </xf>
    <xf borderId="0" fillId="0" fontId="1" numFmtId="0" xfId="0" applyAlignment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0" fillId="0" fontId="1" numFmtId="0" xfId="0" applyAlignment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0" fillId="2" fontId="2" numFmtId="0" xfId="0" applyAlignment="1" applyFont="1">
      <alignment vertical="bottom"/>
    </xf>
    <xf borderId="0" fillId="2" fontId="3" numFmtId="0" xfId="0" applyAlignment="1" applyFont="1">
      <alignment vertical="bottom"/>
    </xf>
    <xf borderId="2" fillId="3" fontId="4" numFmtId="0" xfId="0" applyAlignment="1" applyBorder="1" applyFill="1" applyFont="1">
      <alignment readingOrder="0" vertical="bottom"/>
    </xf>
    <xf borderId="0" fillId="0" fontId="1" numFmtId="0" xfId="0" applyFont="1"/>
    <xf borderId="3" fillId="3" fontId="4" numFmtId="0" xfId="0" applyAlignment="1" applyBorder="1" applyFont="1">
      <alignment readingOrder="0" vertical="bottom"/>
    </xf>
    <xf borderId="4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left" shrinkToFit="0" wrapText="1"/>
    </xf>
    <xf borderId="0" fillId="2" fontId="2" numFmtId="0" xfId="0" applyFont="1"/>
    <xf borderId="5" fillId="3" fontId="4" numFmtId="0" xfId="0" applyAlignment="1" applyBorder="1" applyFont="1">
      <alignment horizontal="left" vertical="bottom"/>
    </xf>
    <xf borderId="2" fillId="0" fontId="1" numFmtId="0" xfId="0" applyAlignment="1" applyBorder="1" applyFont="1">
      <alignment horizontal="left"/>
    </xf>
    <xf borderId="0" fillId="0" fontId="5" numFmtId="1" xfId="0" applyFont="1" applyNumberFormat="1"/>
    <xf borderId="5" fillId="3" fontId="4" numFmtId="0" xfId="0" applyAlignment="1" applyBorder="1" applyFont="1">
      <alignment horizontal="center" vertical="bottom"/>
    </xf>
    <xf borderId="2" fillId="0" fontId="1" numFmtId="0" xfId="0" applyAlignment="1" applyBorder="1" applyFont="1">
      <alignment horizontal="center" shrinkToFit="0" wrapText="1"/>
    </xf>
    <xf borderId="5" fillId="3" fontId="4" numFmtId="1" xfId="0" applyAlignment="1" applyBorder="1" applyFont="1" applyNumberFormat="1">
      <alignment horizontal="center" vertical="bottom"/>
    </xf>
    <xf borderId="2" fillId="0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horizontal="center"/>
    </xf>
    <xf borderId="2" fillId="4" fontId="6" numFmtId="0" xfId="0" applyAlignment="1" applyBorder="1" applyFill="1" applyFont="1">
      <alignment vertical="bottom"/>
    </xf>
    <xf borderId="3" fillId="4" fontId="6" numFmtId="0" xfId="0" applyAlignment="1" applyBorder="1" applyFont="1">
      <alignment vertical="bottom"/>
    </xf>
    <xf borderId="2" fillId="5" fontId="6" numFmtId="0" xfId="0" applyAlignment="1" applyBorder="1" applyFill="1" applyFont="1">
      <alignment vertical="bottom"/>
    </xf>
    <xf borderId="2" fillId="0" fontId="1" numFmtId="0" xfId="0" applyAlignment="1" applyBorder="1" applyFont="1">
      <alignment horizontal="left" vertical="bottom"/>
    </xf>
    <xf borderId="1" fillId="6" fontId="1" numFmtId="0" xfId="0" applyAlignment="1" applyBorder="1" applyFill="1" applyFont="1">
      <alignment horizontal="left" vertical="bottom"/>
    </xf>
    <xf borderId="3" fillId="4" fontId="6" numFmtId="0" xfId="0" applyAlignment="1" applyBorder="1" applyFont="1">
      <alignment horizontal="center" readingOrder="0" vertical="bottom"/>
    </xf>
    <xf borderId="0" fillId="0" fontId="7" numFmtId="0" xfId="0" applyFont="1"/>
    <xf borderId="1" fillId="6" fontId="1" numFmtId="3" xfId="0" applyAlignment="1" applyBorder="1" applyFont="1" applyNumberFormat="1">
      <alignment horizontal="center" vertical="bottom"/>
    </xf>
    <xf borderId="0" fillId="0" fontId="1" numFmtId="1" xfId="0" applyAlignment="1" applyFont="1" applyNumberFormat="1">
      <alignment vertical="bottom"/>
    </xf>
    <xf borderId="2" fillId="0" fontId="1" numFmtId="164" xfId="0" applyAlignment="1" applyBorder="1" applyFont="1" applyNumberFormat="1">
      <alignment horizontal="center" vertical="bottom"/>
    </xf>
    <xf borderId="6" fillId="6" fontId="1" numFmtId="3" xfId="0" applyAlignment="1" applyBorder="1" applyFont="1" applyNumberFormat="1">
      <alignment horizontal="center" vertical="bottom"/>
    </xf>
    <xf borderId="0" fillId="3" fontId="4" numFmtId="0" xfId="0" applyAlignment="1" applyFont="1">
      <alignment vertical="bottom"/>
    </xf>
    <xf borderId="1" fillId="6" fontId="1" numFmtId="2" xfId="0" applyAlignment="1" applyBorder="1" applyFont="1" applyNumberFormat="1">
      <alignment horizontal="center" vertical="bottom"/>
    </xf>
    <xf borderId="7" fillId="2" fontId="2" numFmtId="0" xfId="0" applyBorder="1" applyFont="1"/>
    <xf borderId="0" fillId="3" fontId="4" numFmtId="1" xfId="0" applyAlignment="1" applyFont="1" applyNumberFormat="1">
      <alignment vertical="bottom"/>
    </xf>
    <xf borderId="8" fillId="3" fontId="4" numFmtId="1" xfId="0" applyAlignment="1" applyBorder="1" applyFont="1" applyNumberFormat="1">
      <alignment vertical="bottom"/>
    </xf>
    <xf borderId="0" fillId="3" fontId="1" numFmtId="0" xfId="0" applyAlignment="1" applyFont="1">
      <alignment vertical="bottom"/>
    </xf>
    <xf borderId="0" fillId="3" fontId="4" numFmtId="0" xfId="0" applyAlignment="1" applyFont="1">
      <alignment horizontal="right" vertical="bottom"/>
    </xf>
    <xf borderId="1" fillId="0" fontId="1" numFmtId="3" xfId="0" applyAlignment="1" applyBorder="1" applyFont="1" applyNumberFormat="1">
      <alignment horizontal="center" vertical="bottom"/>
    </xf>
    <xf borderId="0" fillId="3" fontId="1" numFmtId="1" xfId="0" applyAlignment="1" applyFont="1" applyNumberFormat="1">
      <alignment vertical="bottom"/>
    </xf>
    <xf borderId="8" fillId="3" fontId="1" numFmtId="1" xfId="0" applyAlignment="1" applyBorder="1" applyFont="1" applyNumberFormat="1">
      <alignment vertical="bottom"/>
    </xf>
    <xf borderId="6" fillId="0" fontId="1" numFmtId="3" xfId="0" applyAlignment="1" applyBorder="1" applyFont="1" applyNumberFormat="1">
      <alignment horizontal="center" vertical="bottom"/>
    </xf>
    <xf borderId="1" fillId="0" fontId="1" numFmtId="2" xfId="0" applyAlignment="1" applyBorder="1" applyFont="1" applyNumberFormat="1">
      <alignment horizontal="center" vertical="bottom"/>
    </xf>
    <xf borderId="9" fillId="6" fontId="8" numFmtId="0" xfId="0" applyAlignment="1" applyBorder="1" applyFont="1">
      <alignment horizontal="center" vertical="center"/>
    </xf>
    <xf borderId="10" fillId="6" fontId="1" numFmtId="0" xfId="0" applyAlignment="1" applyBorder="1" applyFont="1">
      <alignment horizontal="right" vertical="bottom"/>
    </xf>
    <xf borderId="11" fillId="2" fontId="9" numFmtId="0" xfId="0" applyAlignment="1" applyBorder="1" applyFont="1">
      <alignment horizontal="center"/>
    </xf>
    <xf borderId="12" fillId="0" fontId="10" numFmtId="0" xfId="0" applyBorder="1" applyFont="1"/>
    <xf borderId="10" fillId="6" fontId="1" numFmtId="0" xfId="0" applyAlignment="1" applyBorder="1" applyFont="1">
      <alignment vertical="bottom"/>
    </xf>
    <xf borderId="13" fillId="0" fontId="10" numFmtId="0" xfId="0" applyBorder="1" applyFont="1"/>
    <xf borderId="10" fillId="6" fontId="1" numFmtId="3" xfId="0" applyAlignment="1" applyBorder="1" applyFont="1" applyNumberFormat="1">
      <alignment horizontal="right" vertical="bottom"/>
    </xf>
    <xf borderId="14" fillId="6" fontId="1" numFmtId="3" xfId="0" applyAlignment="1" applyBorder="1" applyFont="1" applyNumberFormat="1">
      <alignment horizontal="right" vertical="bottom"/>
    </xf>
    <xf borderId="1" fillId="0" fontId="1" numFmtId="0" xfId="0" applyAlignment="1" applyBorder="1" applyFont="1">
      <alignment horizontal="right" vertical="bottom"/>
    </xf>
    <xf borderId="1" fillId="0" fontId="1" numFmtId="0" xfId="0" applyAlignment="1" applyBorder="1" applyFont="1">
      <alignment vertical="bottom"/>
    </xf>
    <xf borderId="8" fillId="2" fontId="2" numFmtId="0" xfId="0" applyAlignment="1" applyBorder="1" applyFont="1">
      <alignment vertical="bottom"/>
    </xf>
    <xf borderId="1" fillId="0" fontId="1" numFmtId="3" xfId="0" applyAlignment="1" applyBorder="1" applyFont="1" applyNumberFormat="1">
      <alignment horizontal="right" vertical="bottom"/>
    </xf>
    <xf borderId="6" fillId="0" fontId="1" numFmtId="3" xfId="0" applyAlignment="1" applyBorder="1" applyFont="1" applyNumberFormat="1">
      <alignment horizontal="right" vertical="bottom"/>
    </xf>
    <xf borderId="1" fillId="6" fontId="1" numFmtId="0" xfId="0" applyAlignment="1" applyBorder="1" applyFont="1">
      <alignment horizontal="right" vertical="bottom"/>
    </xf>
    <xf borderId="15" fillId="0" fontId="10" numFmtId="0" xfId="0" applyBorder="1" applyFont="1"/>
    <xf borderId="1" fillId="6" fontId="1" numFmtId="0" xfId="0" applyAlignment="1" applyBorder="1" applyFont="1">
      <alignment vertical="bottom"/>
    </xf>
    <xf borderId="8" fillId="0" fontId="10" numFmtId="0" xfId="0" applyBorder="1" applyFont="1"/>
    <xf borderId="7" fillId="2" fontId="2" numFmtId="0" xfId="0" applyAlignment="1" applyBorder="1" applyFont="1">
      <alignment vertical="bottom"/>
    </xf>
    <xf borderId="1" fillId="6" fontId="1" numFmtId="3" xfId="0" applyAlignment="1" applyBorder="1" applyFont="1" applyNumberFormat="1">
      <alignment horizontal="right" vertical="bottom"/>
    </xf>
    <xf borderId="6" fillId="6" fontId="1" numFmtId="3" xfId="0" applyAlignment="1" applyBorder="1" applyFont="1" applyNumberFormat="1">
      <alignment horizontal="right" vertical="bottom"/>
    </xf>
    <xf borderId="16" fillId="2" fontId="2" numFmtId="0" xfId="0" applyAlignment="1" applyBorder="1" applyFont="1">
      <alignment vertical="bottom"/>
    </xf>
    <xf borderId="17" fillId="2" fontId="2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right" vertical="bottom"/>
    </xf>
    <xf borderId="6" fillId="2" fontId="2" numFmtId="0" xfId="0" applyAlignment="1" applyBorder="1" applyFont="1">
      <alignment vertical="bottom"/>
    </xf>
    <xf borderId="0" fillId="2" fontId="11" numFmtId="0" xfId="0" applyAlignment="1" applyFont="1">
      <alignment vertical="bottom"/>
    </xf>
    <xf borderId="1" fillId="0" fontId="10" numFmtId="0" xfId="0" applyBorder="1" applyFont="1"/>
    <xf borderId="0" fillId="7" fontId="8" numFmtId="0" xfId="0" applyAlignment="1" applyFill="1" applyFont="1">
      <alignment horizontal="center" vertical="center"/>
    </xf>
    <xf borderId="1" fillId="7" fontId="1" numFmtId="0" xfId="0" applyAlignment="1" applyBorder="1" applyFont="1">
      <alignment horizontal="right" vertical="bottom"/>
    </xf>
    <xf borderId="1" fillId="7" fontId="1" numFmtId="0" xfId="0" applyAlignment="1" applyBorder="1" applyFont="1">
      <alignment vertical="bottom"/>
    </xf>
    <xf borderId="18" fillId="2" fontId="12" numFmtId="0" xfId="0" applyAlignment="1" applyBorder="1" applyFont="1">
      <alignment vertical="bottom"/>
    </xf>
    <xf borderId="5" fillId="2" fontId="2" numFmtId="0" xfId="0" applyAlignment="1" applyBorder="1" applyFont="1">
      <alignment horizontal="right" vertical="bottom"/>
    </xf>
    <xf borderId="1" fillId="7" fontId="1" numFmtId="3" xfId="0" applyAlignment="1" applyBorder="1" applyFont="1" applyNumberFormat="1">
      <alignment horizontal="right" vertical="bottom"/>
    </xf>
    <xf borderId="6" fillId="7" fontId="1" numFmtId="3" xfId="0" applyAlignment="1" applyBorder="1" applyFont="1" applyNumberFormat="1">
      <alignment horizontal="right" vertical="bottom"/>
    </xf>
    <xf borderId="5" fillId="2" fontId="2" numFmtId="0" xfId="0" applyAlignment="1" applyBorder="1" applyFont="1">
      <alignment vertical="bottom"/>
    </xf>
    <xf borderId="6" fillId="2" fontId="2" numFmtId="0" xfId="0" applyBorder="1" applyFont="1"/>
    <xf borderId="1" fillId="7" fontId="1" numFmtId="0" xfId="0" applyAlignment="1" applyBorder="1" applyFont="1">
      <alignment horizontal="left" vertical="bottom"/>
    </xf>
    <xf borderId="1" fillId="7" fontId="1" numFmtId="3" xfId="0" applyAlignment="1" applyBorder="1" applyFont="1" applyNumberFormat="1">
      <alignment horizontal="center" vertical="bottom"/>
    </xf>
    <xf borderId="6" fillId="2" fontId="13" numFmtId="0" xfId="0" applyAlignment="1" applyBorder="1" applyFont="1">
      <alignment horizontal="center"/>
    </xf>
    <xf borderId="6" fillId="7" fontId="1" numFmtId="3" xfId="0" applyAlignment="1" applyBorder="1" applyFont="1" applyNumberFormat="1">
      <alignment horizontal="center" vertical="bottom"/>
    </xf>
    <xf borderId="1" fillId="7" fontId="1" numFmtId="2" xfId="0" applyAlignment="1" applyBorder="1" applyFont="1" applyNumberFormat="1">
      <alignment horizontal="center" vertical="bottom"/>
    </xf>
    <xf borderId="15" fillId="2" fontId="2" numFmtId="0" xfId="0" applyAlignment="1" applyBorder="1" applyFont="1">
      <alignment vertical="bottom"/>
    </xf>
    <xf borderId="8" fillId="2" fontId="2" numFmtId="0" xfId="0" applyBorder="1" applyFont="1"/>
    <xf borderId="0" fillId="2" fontId="14" numFmtId="0" xfId="0" applyAlignment="1" applyFont="1">
      <alignment horizontal="center" vertical="bottom"/>
    </xf>
    <xf borderId="0" fillId="6" fontId="8" numFmtId="0" xfId="0" applyAlignment="1" applyFont="1">
      <alignment horizontal="center" vertical="center"/>
    </xf>
    <xf borderId="19" fillId="2" fontId="12" numFmtId="0" xfId="0" applyAlignment="1" applyBorder="1" applyFont="1">
      <alignment vertical="bottom"/>
    </xf>
    <xf borderId="20" fillId="2" fontId="2" numFmtId="0" xfId="0" applyAlignment="1" applyBorder="1" applyFont="1">
      <alignment horizontal="right" vertical="bottom"/>
    </xf>
    <xf borderId="20" fillId="2" fontId="2" numFmtId="0" xfId="0" applyAlignment="1" applyBorder="1" applyFont="1">
      <alignment vertical="bottom"/>
    </xf>
    <xf borderId="16" fillId="2" fontId="2" numFmtId="0" xfId="0" applyBorder="1" applyFont="1"/>
    <xf borderId="0" fillId="0" fontId="15" numFmtId="0" xfId="0" applyAlignment="1" applyFont="1">
      <alignment horizontal="center"/>
    </xf>
    <xf borderId="4" fillId="0" fontId="10" numFmtId="0" xfId="0" applyBorder="1" applyFont="1"/>
    <xf borderId="5" fillId="0" fontId="10" numFmtId="0" xfId="0" applyBorder="1" applyFont="1"/>
    <xf borderId="5" fillId="0" fontId="1" numFmtId="0" xfId="0" applyAlignment="1" applyBorder="1" applyFont="1">
      <alignment vertical="bottom"/>
    </xf>
    <xf borderId="5" fillId="8" fontId="4" numFmtId="0" xfId="0" applyAlignment="1" applyBorder="1" applyFill="1" applyFont="1">
      <alignment horizontal="right" vertical="bottom"/>
    </xf>
    <xf borderId="5" fillId="8" fontId="4" numFmtId="0" xfId="0" applyAlignment="1" applyBorder="1" applyFont="1">
      <alignment vertical="bottom"/>
    </xf>
    <xf borderId="5" fillId="8" fontId="4" numFmtId="3" xfId="0" applyAlignment="1" applyBorder="1" applyFont="1" applyNumberFormat="1">
      <alignment horizontal="right" vertical="bottom"/>
    </xf>
    <xf borderId="21" fillId="2" fontId="2" numFmtId="0" xfId="0" applyAlignment="1" applyBorder="1" applyFont="1">
      <alignment vertical="bottom"/>
    </xf>
    <xf borderId="1" fillId="7" fontId="1" numFmtId="3" xfId="0" applyAlignment="1" applyBorder="1" applyFont="1" applyNumberFormat="1">
      <alignment vertical="bottom"/>
    </xf>
    <xf borderId="1" fillId="0" fontId="1" numFmtId="3" xfId="0" applyAlignment="1" applyBorder="1" applyFont="1" applyNumberFormat="1">
      <alignment vertical="bottom"/>
    </xf>
    <xf borderId="15" fillId="2" fontId="9" numFmtId="0" xfId="0" applyAlignment="1" applyBorder="1" applyFont="1">
      <alignment horizontal="center"/>
    </xf>
    <xf borderId="1" fillId="6" fontId="1" numFmtId="3" xfId="0" applyAlignment="1" applyBorder="1" applyFont="1" applyNumberFormat="1">
      <alignment vertical="bottom"/>
    </xf>
    <xf borderId="17" fillId="0" fontId="10" numFmtId="0" xfId="0" applyBorder="1" applyFont="1"/>
    <xf borderId="6" fillId="0" fontId="10" numFmtId="0" xfId="0" applyBorder="1" applyFont="1"/>
    <xf borderId="10" fillId="6" fontId="1" numFmtId="3" xfId="0" applyAlignment="1" applyBorder="1" applyFont="1" applyNumberFormat="1">
      <alignment vertical="bottom"/>
    </xf>
    <xf borderId="2" fillId="0" fontId="7" numFmtId="0" xfId="0" applyBorder="1" applyFont="1"/>
    <xf borderId="2" fillId="0" fontId="7" numFmtId="164" xfId="0" applyBorder="1" applyFont="1" applyNumberFormat="1"/>
    <xf borderId="16" fillId="2" fontId="13" numFmtId="0" xfId="0" applyAlignment="1" applyBorder="1" applyFont="1">
      <alignment horizontal="center"/>
    </xf>
    <xf borderId="11" fillId="6" fontId="8" numFmtId="0" xfId="0" applyAlignment="1" applyBorder="1" applyFont="1">
      <alignment horizontal="center" vertical="center"/>
    </xf>
    <xf borderId="22" fillId="0" fontId="10" numFmtId="0" xfId="0" applyBorder="1" applyFont="1"/>
    <xf borderId="23" fillId="2" fontId="2" numFmtId="0" xfId="0" applyAlignment="1" applyBorder="1" applyFont="1">
      <alignment vertical="bottom"/>
    </xf>
    <xf borderId="24" fillId="2" fontId="2" numFmtId="0" xfId="0" applyAlignment="1" applyBorder="1" applyFont="1">
      <alignment vertical="bottom"/>
    </xf>
    <xf borderId="2" fillId="2" fontId="2" numFmtId="0" xfId="0" applyAlignment="1" applyBorder="1" applyFont="1">
      <alignment vertical="bottom"/>
    </xf>
    <xf borderId="25" fillId="2" fontId="2" numFmtId="0" xfId="0" applyAlignment="1" applyBorder="1" applyFont="1">
      <alignment vertical="bottom"/>
    </xf>
    <xf borderId="21" fillId="0" fontId="10" numFmtId="0" xfId="0" applyBorder="1" applyFont="1"/>
    <xf borderId="7" fillId="0" fontId="10" numFmtId="0" xfId="0" applyBorder="1" applyFont="1"/>
    <xf borderId="20" fillId="0" fontId="10" numFmtId="0" xfId="0" applyBorder="1" applyFont="1"/>
    <xf borderId="26" fillId="2" fontId="2" numFmtId="0" xfId="0" applyAlignment="1" applyBorder="1" applyFont="1">
      <alignment vertical="bottom"/>
    </xf>
    <xf borderId="27" fillId="2" fontId="2" numFmtId="0" xfId="0" applyAlignment="1" applyBorder="1" applyFont="1">
      <alignment vertical="bottom"/>
    </xf>
    <xf borderId="11" fillId="7" fontId="8" numFmtId="0" xfId="0" applyAlignment="1" applyBorder="1" applyFont="1">
      <alignment horizontal="center" vertical="center"/>
    </xf>
    <xf borderId="4" fillId="0" fontId="1" numFmtId="0" xfId="0" applyBorder="1" applyFont="1"/>
    <xf borderId="5" fillId="0" fontId="1" numFmtId="0" xfId="0" applyAlignment="1" applyBorder="1" applyFont="1">
      <alignment horizontal="left" shrinkToFit="0" wrapText="1"/>
    </xf>
    <xf borderId="5" fillId="0" fontId="1" numFmtId="0" xfId="0" applyAlignment="1" applyBorder="1" applyFont="1">
      <alignment horizontal="center" shrinkToFit="0" wrapText="1"/>
    </xf>
    <xf borderId="5" fillId="0" fontId="1" numFmtId="2" xfId="0" applyAlignment="1" applyBorder="1" applyFont="1" applyNumberFormat="1">
      <alignment horizontal="center" shrinkToFit="0" wrapText="1"/>
    </xf>
    <xf borderId="2" fillId="0" fontId="1" numFmtId="2" xfId="0" applyAlignment="1" applyBorder="1" applyFont="1" applyNumberFormat="1">
      <alignment horizontal="center"/>
    </xf>
    <xf borderId="5" fillId="0" fontId="1" numFmtId="0" xfId="0" applyAlignment="1" applyBorder="1" applyFont="1">
      <alignment horizontal="left" vertical="bottom"/>
    </xf>
    <xf borderId="5" fillId="0" fontId="1" numFmtId="0" xfId="0" applyAlignment="1" applyBorder="1" applyFont="1">
      <alignment horizontal="center" vertical="bottom"/>
    </xf>
    <xf borderId="5" fillId="0" fontId="1" numFmtId="2" xfId="0" applyAlignment="1" applyBorder="1" applyFont="1" applyNumberFormat="1">
      <alignment horizontal="center" vertical="bottom"/>
    </xf>
    <xf borderId="5" fillId="0" fontId="1" numFmtId="164" xfId="0" applyAlignment="1" applyBorder="1" applyFont="1" applyNumberFormat="1">
      <alignment horizontal="center" vertical="bottom"/>
    </xf>
    <xf borderId="2" fillId="0" fontId="1" numFmtId="2" xfId="0" applyAlignment="1" applyBorder="1" applyFont="1" applyNumberFormat="1">
      <alignment horizontal="center" vertical="bottom"/>
    </xf>
    <xf borderId="5" fillId="0" fontId="1" numFmtId="2" xfId="0" applyAlignment="1" applyBorder="1" applyFont="1" applyNumberFormat="1">
      <alignment horizontal="left" vertical="bottom"/>
    </xf>
    <xf borderId="2" fillId="0" fontId="1" numFmtId="0" xfId="0" applyAlignment="1" applyBorder="1" applyFont="1">
      <alignment horizontal="center" vertical="bottom"/>
    </xf>
    <xf borderId="0" fillId="0" fontId="7" numFmtId="0" xfId="0" applyAlignment="1" applyFont="1">
      <alignment horizontal="left"/>
    </xf>
    <xf borderId="0" fillId="0" fontId="7" numFmtId="0" xfId="0" applyAlignment="1" applyFont="1">
      <alignment horizontal="center"/>
    </xf>
    <xf borderId="2" fillId="0" fontId="7" numFmtId="2" xfId="0" applyAlignment="1" applyBorder="1" applyFont="1" applyNumberFormat="1">
      <alignment horizontal="center"/>
    </xf>
    <xf borderId="2" fillId="0" fontId="7" numFmtId="0" xfId="0" applyAlignment="1" applyBorder="1" applyFont="1">
      <alignment horizontal="center"/>
    </xf>
    <xf borderId="4" fillId="0" fontId="1" numFmtId="0" xfId="0" applyAlignment="1" applyBorder="1" applyFont="1">
      <alignment horizontal="left" vertical="bottom"/>
    </xf>
    <xf borderId="0" fillId="0" fontId="7" numFmtId="0" xfId="0" applyAlignment="1" applyFont="1">
      <alignment readingOrder="0"/>
    </xf>
    <xf borderId="0" fillId="2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Col="1"/>
  <cols>
    <col customWidth="1" min="2" max="2" width="8.88"/>
    <col customWidth="1" min="3" max="3" width="9.38"/>
    <col customWidth="1" min="4" max="4" width="9.25"/>
    <col customWidth="1" min="5" max="5" width="22.5"/>
    <col customWidth="1" min="6" max="6" width="18.75"/>
    <col customWidth="1" min="7" max="7" width="12.25"/>
    <col customWidth="1" min="8" max="9" width="10.0"/>
    <col customWidth="1" min="10" max="10" width="27.5"/>
    <col customWidth="1" min="11" max="11" width="9.13"/>
  </cols>
  <sheetData>
    <row r="2">
      <c r="B2" s="2" t="str">
        <f>IFERROR(__xludf.DUMMYFUNCTION("importrange(""186BTcLZIRRmcGcU5S6nDdN41SUH8zUJ1gFEIezWrRnQ"",""'quali data'!A4:J108"")"),"")</f>
        <v/>
      </c>
      <c r="C2" s="2"/>
      <c r="D2" s="10" t="str">
        <f>IFERROR(__xludf.DUMMYFUNCTION("""COMPUTED_VALUE"""),"Auto nr.")</f>
        <v>Auto nr.</v>
      </c>
      <c r="E2" s="10" t="str">
        <f>IFERROR(__xludf.DUMMYFUNCTION("""COMPUTED_VALUE"""),"Name")</f>
        <v>Name</v>
      </c>
      <c r="F2" s="12" t="str">
        <f>IFERROR(__xludf.DUMMYFUNCTION("""COMPUTED_VALUE"""),"Country")</f>
        <v>Country</v>
      </c>
      <c r="G2" s="12" t="str">
        <f>IFERROR(__xludf.DUMMYFUNCTION("""COMPUTED_VALUE"""),"Car")</f>
        <v>Car</v>
      </c>
      <c r="H2" s="10" t="str">
        <f>IFERROR(__xludf.DUMMYFUNCTION("""COMPUTED_VALUE"""),"1st RUN")</f>
        <v>1st RUN</v>
      </c>
      <c r="I2" s="10" t="str">
        <f>IFERROR(__xludf.DUMMYFUNCTION("""COMPUTED_VALUE"""),"2nd RUN")</f>
        <v>2nd RUN</v>
      </c>
      <c r="J2" s="12" t="str">
        <f>IFERROR(__xludf.DUMMYFUNCTION("""COMPUTED_VALUE"""),"Team")</f>
        <v>Team</v>
      </c>
      <c r="K2" s="18" t="str">
        <f>IFERROR(__xludf.DUMMYFUNCTION("""COMPUTED_VALUE"""),"Danils Dolganovs RUN 2: 0")</f>
        <v>Danils Dolganovs RUN 2: 0</v>
      </c>
    </row>
    <row r="3">
      <c r="B3" s="2"/>
      <c r="C3" s="2"/>
      <c r="D3" s="22">
        <f>IFERROR(__xludf.DUMMYFUNCTION("""COMPUTED_VALUE"""),101.0)</f>
        <v>101</v>
      </c>
      <c r="E3" s="24" t="str">
        <f>IFERROR(__xludf.DUMMYFUNCTION("""COMPUTED_VALUE"""),"Danils Dolganovs")</f>
        <v>Danils Dolganovs</v>
      </c>
      <c r="F3" s="25" t="str">
        <f>IFERROR(__xludf.DUMMYFUNCTION("""COMPUTED_VALUE"""),"Latvia")</f>
        <v>Latvia</v>
      </c>
      <c r="G3" s="25" t="str">
        <f>IFERROR(__xludf.DUMMYFUNCTION("""COMPUTED_VALUE"""),"BMW E36")</f>
        <v>BMW E36</v>
      </c>
      <c r="H3" s="26">
        <f>IFERROR(__xludf.DUMMYFUNCTION("""COMPUTED_VALUE"""),0.0)</f>
        <v>0</v>
      </c>
      <c r="I3" s="26">
        <f>IFERROR(__xludf.DUMMYFUNCTION("""COMPUTED_VALUE"""),0.0)</f>
        <v>0</v>
      </c>
      <c r="J3" s="29"/>
      <c r="K3" s="30"/>
    </row>
    <row r="4">
      <c r="B4" s="2"/>
      <c r="C4" s="2">
        <f>IFERROR(__xludf.DUMMYFUNCTION("""COMPUTED_VALUE"""),67.0)</f>
        <v>67</v>
      </c>
      <c r="D4" s="2">
        <f>IFERROR(__xludf.DUMMYFUNCTION("""COMPUTED_VALUE"""),474.0)</f>
        <v>474</v>
      </c>
      <c r="E4" s="2" t="str">
        <f>IFERROR(__xludf.DUMMYFUNCTION("""COMPUTED_VALUE"""),"Balogh Ákos")</f>
        <v>Balogh Ákos</v>
      </c>
      <c r="F4" s="2"/>
      <c r="G4" s="2"/>
      <c r="H4" s="2"/>
      <c r="I4" s="2"/>
      <c r="J4" s="32"/>
      <c r="K4" s="30"/>
    </row>
    <row r="5">
      <c r="B5" s="35" t="str">
        <f>IFERROR(__xludf.DUMMYFUNCTION("""COMPUTED_VALUE"""),"Group")</f>
        <v>Group</v>
      </c>
      <c r="C5" s="35" t="str">
        <f>IFERROR(__xludf.DUMMYFUNCTION("""COMPUTED_VALUE"""),"Order Nr.")</f>
        <v>Order Nr.</v>
      </c>
      <c r="D5" s="35" t="str">
        <f>IFERROR(__xludf.DUMMYFUNCTION("""COMPUTED_VALUE"""),"Auto nr.")</f>
        <v>Auto nr.</v>
      </c>
      <c r="E5" s="35" t="str">
        <f>IFERROR(__xludf.DUMMYFUNCTION("""COMPUTED_VALUE"""),"Name")</f>
        <v>Name</v>
      </c>
      <c r="F5" s="35" t="str">
        <f>IFERROR(__xludf.DUMMYFUNCTION("""COMPUTED_VALUE"""),"Country")</f>
        <v>Country</v>
      </c>
      <c r="G5" s="35" t="str">
        <f>IFERROR(__xludf.DUMMYFUNCTION("""COMPUTED_VALUE"""),"Car")</f>
        <v>Car</v>
      </c>
      <c r="H5" s="35" t="str">
        <f>IFERROR(__xludf.DUMMYFUNCTION("""COMPUTED_VALUE"""),"1st RUN")</f>
        <v>1st RUN</v>
      </c>
      <c r="I5" s="35" t="str">
        <f>IFERROR(__xludf.DUMMYFUNCTION("""COMPUTED_VALUE"""),"2nd RUN")</f>
        <v>2nd RUN</v>
      </c>
      <c r="J5" s="38" t="str">
        <f>IFERROR(__xludf.DUMMYFUNCTION("""COMPUTED_VALUE"""),"Best")</f>
        <v>Best</v>
      </c>
      <c r="K5" s="39" t="str">
        <f>IFERROR(__xludf.DUMMYFUNCTION("""COMPUTED_VALUE"""),"Worst")</f>
        <v>Worst</v>
      </c>
    </row>
    <row r="6">
      <c r="B6" s="40"/>
      <c r="C6" s="41">
        <f>IFERROR(__xludf.DUMMYFUNCTION("""COMPUTED_VALUE"""),0.0)</f>
        <v>0</v>
      </c>
      <c r="D6" s="40"/>
      <c r="E6" s="40"/>
      <c r="F6" s="40"/>
      <c r="G6" s="40"/>
      <c r="H6" s="40"/>
      <c r="I6" s="40"/>
      <c r="J6" s="43"/>
      <c r="K6" s="44"/>
    </row>
    <row r="7">
      <c r="B7" s="47" t="str">
        <f>IFERROR(__xludf.DUMMYFUNCTION("""COMPUTED_VALUE"""),"A")</f>
        <v>A</v>
      </c>
      <c r="C7" s="48">
        <f>IFERROR(__xludf.DUMMYFUNCTION("""COMPUTED_VALUE"""),1.0)</f>
        <v>1</v>
      </c>
      <c r="D7" s="48">
        <f>IFERROR(__xludf.DUMMYFUNCTION("""COMPUTED_VALUE"""),743.0)</f>
        <v>743</v>
      </c>
      <c r="E7" s="51" t="str">
        <f>IFERROR(__xludf.DUMMYFUNCTION("""COMPUTED_VALUE"""),"Danielis Soltysiakas")</f>
        <v>Danielis Soltysiakas</v>
      </c>
      <c r="F7" s="51" t="str">
        <f>IFERROR(__xludf.DUMMYFUNCTION("""COMPUTED_VALUE"""),"Lithuania")</f>
        <v>Lithuania</v>
      </c>
      <c r="G7" s="51" t="str">
        <f>IFERROR(__xludf.DUMMYFUNCTION("""COMPUTED_VALUE"""),"BMW E46")</f>
        <v>BMW E46</v>
      </c>
      <c r="H7" s="51">
        <f>IFERROR(__xludf.DUMMYFUNCTION("""COMPUTED_VALUE"""),74.0)</f>
        <v>74</v>
      </c>
      <c r="I7" s="51">
        <f>IFERROR(__xludf.DUMMYFUNCTION("""COMPUTED_VALUE"""),64.0)</f>
        <v>64</v>
      </c>
      <c r="J7" s="53">
        <f>IFERROR(__xludf.DUMMYFUNCTION("""COMPUTED_VALUE"""),74.0064)</f>
        <v>74.0064</v>
      </c>
      <c r="K7" s="54">
        <f>IFERROR(__xludf.DUMMYFUNCTION("""COMPUTED_VALUE"""),64.0)</f>
        <v>64</v>
      </c>
    </row>
    <row r="8">
      <c r="C8" s="55">
        <f>IFERROR(__xludf.DUMMYFUNCTION("""COMPUTED_VALUE"""),2.0)</f>
        <v>2</v>
      </c>
      <c r="D8" s="55">
        <f>IFERROR(__xludf.DUMMYFUNCTION("""COMPUTED_VALUE"""),469.0)</f>
        <v>469</v>
      </c>
      <c r="E8" s="56" t="str">
        <f>IFERROR(__xludf.DUMMYFUNCTION("""COMPUTED_VALUE"""),"Elgars Bambāns")</f>
        <v>Elgars Bambāns</v>
      </c>
      <c r="F8" s="56" t="str">
        <f>IFERROR(__xludf.DUMMYFUNCTION("""COMPUTED_VALUE"""),"Latvia")</f>
        <v>Latvia</v>
      </c>
      <c r="G8" s="56" t="str">
        <f>IFERROR(__xludf.DUMMYFUNCTION("""COMPUTED_VALUE"""),"BMW E46")</f>
        <v>BMW E46</v>
      </c>
      <c r="H8" s="56">
        <f>IFERROR(__xludf.DUMMYFUNCTION("""COMPUTED_VALUE"""),0.0)</f>
        <v>0</v>
      </c>
      <c r="I8" s="56">
        <f>IFERROR(__xludf.DUMMYFUNCTION("""COMPUTED_VALUE"""),70.0)</f>
        <v>70</v>
      </c>
      <c r="J8" s="58">
        <f>IFERROR(__xludf.DUMMYFUNCTION("""COMPUTED_VALUE"""),70.0)</f>
        <v>70</v>
      </c>
      <c r="K8" s="59">
        <f>IFERROR(__xludf.DUMMYFUNCTION("""COMPUTED_VALUE"""),0.0)</f>
        <v>0</v>
      </c>
    </row>
    <row r="9">
      <c r="C9" s="60">
        <f>IFERROR(__xludf.DUMMYFUNCTION("""COMPUTED_VALUE"""),3.0)</f>
        <v>3</v>
      </c>
      <c r="D9" s="60"/>
      <c r="E9" s="62" t="str">
        <f>IFERROR(__xludf.DUMMYFUNCTION("""COMPUTED_VALUE"""),"")</f>
        <v/>
      </c>
      <c r="F9" s="62" t="str">
        <f>IFERROR(__xludf.DUMMYFUNCTION("""COMPUTED_VALUE"""),"")</f>
        <v/>
      </c>
      <c r="G9" s="62" t="str">
        <f>IFERROR(__xludf.DUMMYFUNCTION("""COMPUTED_VALUE"""),"")</f>
        <v/>
      </c>
      <c r="H9" s="62" t="str">
        <f>IFERROR(__xludf.DUMMYFUNCTION("""COMPUTED_VALUE"""),"")</f>
        <v/>
      </c>
      <c r="I9" s="62" t="str">
        <f>IFERROR(__xludf.DUMMYFUNCTION("""COMPUTED_VALUE"""),"")</f>
        <v/>
      </c>
      <c r="J9" s="65">
        <f>IFERROR(__xludf.DUMMYFUNCTION("""COMPUTED_VALUE"""),0.0)</f>
        <v>0</v>
      </c>
      <c r="K9" s="66">
        <f>IFERROR(__xludf.DUMMYFUNCTION("""COMPUTED_VALUE"""),0.0)</f>
        <v>0</v>
      </c>
    </row>
    <row r="10">
      <c r="C10" s="55">
        <f>IFERROR(__xludf.DUMMYFUNCTION("""COMPUTED_VALUE"""),4.0)</f>
        <v>4</v>
      </c>
      <c r="D10" s="55">
        <f>IFERROR(__xludf.DUMMYFUNCTION("""COMPUTED_VALUE"""),649.0)</f>
        <v>649</v>
      </c>
      <c r="E10" s="56" t="str">
        <f>IFERROR(__xludf.DUMMYFUNCTION("""COMPUTED_VALUE"""),"Simon Sandman")</f>
        <v>Simon Sandman</v>
      </c>
      <c r="F10" s="56" t="str">
        <f>IFERROR(__xludf.DUMMYFUNCTION("""COMPUTED_VALUE"""),"Sweden")</f>
        <v>Sweden</v>
      </c>
      <c r="G10" s="56" t="str">
        <f>IFERROR(__xludf.DUMMYFUNCTION("""COMPUTED_VALUE"""),"BMW E36")</f>
        <v>BMW E36</v>
      </c>
      <c r="H10" s="56">
        <f>IFERROR(__xludf.DUMMYFUNCTION("""COMPUTED_VALUE"""),73.0)</f>
        <v>73</v>
      </c>
      <c r="I10" s="56">
        <f>IFERROR(__xludf.DUMMYFUNCTION("""COMPUTED_VALUE"""),82.0)</f>
        <v>82</v>
      </c>
      <c r="J10" s="58">
        <f>IFERROR(__xludf.DUMMYFUNCTION("""COMPUTED_VALUE"""),82.0073)</f>
        <v>82.0073</v>
      </c>
      <c r="K10" s="59">
        <f>IFERROR(__xludf.DUMMYFUNCTION("""COMPUTED_VALUE"""),73.0)</f>
        <v>73</v>
      </c>
    </row>
    <row r="11">
      <c r="C11" s="60">
        <f>IFERROR(__xludf.DUMMYFUNCTION("""COMPUTED_VALUE"""),5.0)</f>
        <v>5</v>
      </c>
      <c r="D11" s="60">
        <f>IFERROR(__xludf.DUMMYFUNCTION("""COMPUTED_VALUE"""),48.0)</f>
        <v>48</v>
      </c>
      <c r="E11" s="62" t="str">
        <f>IFERROR(__xludf.DUMMYFUNCTION("""COMPUTED_VALUE"""),"Mantas Savickas")</f>
        <v>Mantas Savickas</v>
      </c>
      <c r="F11" s="62" t="str">
        <f>IFERROR(__xludf.DUMMYFUNCTION("""COMPUTED_VALUE"""),"Lithuania")</f>
        <v>Lithuania</v>
      </c>
      <c r="G11" s="62" t="str">
        <f>IFERROR(__xludf.DUMMYFUNCTION("""COMPUTED_VALUE"""),"BMW E36")</f>
        <v>BMW E36</v>
      </c>
      <c r="H11" s="62">
        <f>IFERROR(__xludf.DUMMYFUNCTION("""COMPUTED_VALUE"""),79.0)</f>
        <v>79</v>
      </c>
      <c r="I11" s="62">
        <f>IFERROR(__xludf.DUMMYFUNCTION("""COMPUTED_VALUE"""),58.0)</f>
        <v>58</v>
      </c>
      <c r="J11" s="65">
        <f>IFERROR(__xludf.DUMMYFUNCTION("""COMPUTED_VALUE"""),79.0058)</f>
        <v>79.0058</v>
      </c>
      <c r="K11" s="66">
        <f>IFERROR(__xludf.DUMMYFUNCTION("""COMPUTED_VALUE"""),58.0)</f>
        <v>58</v>
      </c>
    </row>
    <row r="12">
      <c r="C12" s="55">
        <f>IFERROR(__xludf.DUMMYFUNCTION("""COMPUTED_VALUE"""),6.0)</f>
        <v>6</v>
      </c>
      <c r="D12" s="55">
        <f>IFERROR(__xludf.DUMMYFUNCTION("""COMPUTED_VALUE"""),808.0)</f>
        <v>808</v>
      </c>
      <c r="E12" s="56" t="str">
        <f>IFERROR(__xludf.DUMMYFUNCTION("""COMPUTED_VALUE"""),"Dima Baydin")</f>
        <v>Dima Baydin</v>
      </c>
      <c r="F12" s="56" t="str">
        <f>IFERROR(__xludf.DUMMYFUNCTION("""COMPUTED_VALUE"""),"Kazakhstan")</f>
        <v>Kazakhstan</v>
      </c>
      <c r="G12" s="56" t="str">
        <f>IFERROR(__xludf.DUMMYFUNCTION("""COMPUTED_VALUE"""),"BMW E36")</f>
        <v>BMW E36</v>
      </c>
      <c r="H12" s="56">
        <f>IFERROR(__xludf.DUMMYFUNCTION("""COMPUTED_VALUE"""),0.0)</f>
        <v>0</v>
      </c>
      <c r="I12" s="56">
        <f>IFERROR(__xludf.DUMMYFUNCTION("""COMPUTED_VALUE"""),72.0)</f>
        <v>72</v>
      </c>
      <c r="J12" s="58">
        <f>IFERROR(__xludf.DUMMYFUNCTION("""COMPUTED_VALUE"""),72.0)</f>
        <v>72</v>
      </c>
      <c r="K12" s="59">
        <f>IFERROR(__xludf.DUMMYFUNCTION("""COMPUTED_VALUE"""),0.0)</f>
        <v>0</v>
      </c>
    </row>
    <row r="13">
      <c r="C13" s="60">
        <f>IFERROR(__xludf.DUMMYFUNCTION("""COMPUTED_VALUE"""),7.0)</f>
        <v>7</v>
      </c>
      <c r="D13" s="60">
        <f>IFERROR(__xludf.DUMMYFUNCTION("""COMPUTED_VALUE"""),410.0)</f>
        <v>410</v>
      </c>
      <c r="E13" s="62" t="str">
        <f>IFERROR(__xludf.DUMMYFUNCTION("""COMPUTED_VALUE"""),"Chase Cronin")</f>
        <v>Chase Cronin</v>
      </c>
      <c r="F13" s="62" t="str">
        <f>IFERROR(__xludf.DUMMYFUNCTION("""COMPUTED_VALUE"""),"United States")</f>
        <v>United States</v>
      </c>
      <c r="G13" s="62" t="str">
        <f>IFERROR(__xludf.DUMMYFUNCTION("""COMPUTED_VALUE"""),"BMW E46")</f>
        <v>BMW E46</v>
      </c>
      <c r="H13" s="62">
        <f>IFERROR(__xludf.DUMMYFUNCTION("""COMPUTED_VALUE"""),88.0)</f>
        <v>88</v>
      </c>
      <c r="I13" s="62">
        <f>IFERROR(__xludf.DUMMYFUNCTION("""COMPUTED_VALUE"""),89.0)</f>
        <v>89</v>
      </c>
      <c r="J13" s="65">
        <f>IFERROR(__xludf.DUMMYFUNCTION("""COMPUTED_VALUE"""),89.0088)</f>
        <v>89.0088</v>
      </c>
      <c r="K13" s="66">
        <f>IFERROR(__xludf.DUMMYFUNCTION("""COMPUTED_VALUE"""),88.0)</f>
        <v>88</v>
      </c>
    </row>
    <row r="14">
      <c r="B14" s="73"/>
      <c r="C14" s="55">
        <f>IFERROR(__xludf.DUMMYFUNCTION("""COMPUTED_VALUE"""),8.0)</f>
        <v>8</v>
      </c>
      <c r="D14" s="55"/>
      <c r="E14" s="56" t="str">
        <f>IFERROR(__xludf.DUMMYFUNCTION("""COMPUTED_VALUE"""),"")</f>
        <v/>
      </c>
      <c r="F14" s="56" t="str">
        <f>IFERROR(__xludf.DUMMYFUNCTION("""COMPUTED_VALUE"""),"")</f>
        <v/>
      </c>
      <c r="G14" s="56" t="str">
        <f>IFERROR(__xludf.DUMMYFUNCTION("""COMPUTED_VALUE"""),"")</f>
        <v/>
      </c>
      <c r="H14" s="56" t="str">
        <f>IFERROR(__xludf.DUMMYFUNCTION("""COMPUTED_VALUE"""),"")</f>
        <v/>
      </c>
      <c r="I14" s="56" t="str">
        <f>IFERROR(__xludf.DUMMYFUNCTION("""COMPUTED_VALUE"""),"")</f>
        <v/>
      </c>
      <c r="J14" s="58">
        <f>IFERROR(__xludf.DUMMYFUNCTION("""COMPUTED_VALUE"""),0.0)</f>
        <v>0</v>
      </c>
      <c r="K14" s="59">
        <f>IFERROR(__xludf.DUMMYFUNCTION("""COMPUTED_VALUE"""),0.0)</f>
        <v>0</v>
      </c>
    </row>
    <row r="15">
      <c r="B15" s="74" t="str">
        <f>IFERROR(__xludf.DUMMYFUNCTION("""COMPUTED_VALUE"""),"B")</f>
        <v>B</v>
      </c>
      <c r="C15" s="75">
        <f>IFERROR(__xludf.DUMMYFUNCTION("""COMPUTED_VALUE"""),9.0)</f>
        <v>9</v>
      </c>
      <c r="D15" s="75"/>
      <c r="E15" s="76" t="str">
        <f>IFERROR(__xludf.DUMMYFUNCTION("""COMPUTED_VALUE"""),"")</f>
        <v/>
      </c>
      <c r="F15" s="76" t="str">
        <f>IFERROR(__xludf.DUMMYFUNCTION("""COMPUTED_VALUE"""),"")</f>
        <v/>
      </c>
      <c r="G15" s="76" t="str">
        <f>IFERROR(__xludf.DUMMYFUNCTION("""COMPUTED_VALUE"""),"")</f>
        <v/>
      </c>
      <c r="H15" s="76" t="str">
        <f>IFERROR(__xludf.DUMMYFUNCTION("""COMPUTED_VALUE"""),"")</f>
        <v/>
      </c>
      <c r="I15" s="76" t="str">
        <f>IFERROR(__xludf.DUMMYFUNCTION("""COMPUTED_VALUE"""),"")</f>
        <v/>
      </c>
      <c r="J15" s="79">
        <f>IFERROR(__xludf.DUMMYFUNCTION("""COMPUTED_VALUE"""),0.0)</f>
        <v>0</v>
      </c>
      <c r="K15" s="80">
        <f>IFERROR(__xludf.DUMMYFUNCTION("""COMPUTED_VALUE"""),0.0)</f>
        <v>0</v>
      </c>
    </row>
    <row r="16">
      <c r="C16" s="55">
        <f>IFERROR(__xludf.DUMMYFUNCTION("""COMPUTED_VALUE"""),10.0)</f>
        <v>10</v>
      </c>
      <c r="D16" s="55"/>
      <c r="E16" s="56" t="str">
        <f>IFERROR(__xludf.DUMMYFUNCTION("""COMPUTED_VALUE"""),"")</f>
        <v/>
      </c>
      <c r="F16" s="56" t="str">
        <f>IFERROR(__xludf.DUMMYFUNCTION("""COMPUTED_VALUE"""),"")</f>
        <v/>
      </c>
      <c r="G16" s="56" t="str">
        <f>IFERROR(__xludf.DUMMYFUNCTION("""COMPUTED_VALUE"""),"")</f>
        <v/>
      </c>
      <c r="H16" s="56" t="str">
        <f>IFERROR(__xludf.DUMMYFUNCTION("""COMPUTED_VALUE"""),"")</f>
        <v/>
      </c>
      <c r="I16" s="56" t="str">
        <f>IFERROR(__xludf.DUMMYFUNCTION("""COMPUTED_VALUE"""),"")</f>
        <v/>
      </c>
      <c r="J16" s="58">
        <f>IFERROR(__xludf.DUMMYFUNCTION("""COMPUTED_VALUE"""),0.0)</f>
        <v>0</v>
      </c>
      <c r="K16" s="59">
        <f>IFERROR(__xludf.DUMMYFUNCTION("""COMPUTED_VALUE"""),0.0)</f>
        <v>0</v>
      </c>
    </row>
    <row r="17">
      <c r="C17" s="75">
        <f>IFERROR(__xludf.DUMMYFUNCTION("""COMPUTED_VALUE"""),11.0)</f>
        <v>11</v>
      </c>
      <c r="D17" s="75">
        <f>IFERROR(__xludf.DUMMYFUNCTION("""COMPUTED_VALUE"""),222.0)</f>
        <v>222</v>
      </c>
      <c r="E17" s="76" t="str">
        <f>IFERROR(__xludf.DUMMYFUNCTION("""COMPUTED_VALUE"""),"Edvinas Murauskas")</f>
        <v>Edvinas Murauskas</v>
      </c>
      <c r="F17" s="76" t="str">
        <f>IFERROR(__xludf.DUMMYFUNCTION("""COMPUTED_VALUE"""),"Lithuania")</f>
        <v>Lithuania</v>
      </c>
      <c r="G17" s="76" t="str">
        <f>IFERROR(__xludf.DUMMYFUNCTION("""COMPUTED_VALUE"""),"BMW E46")</f>
        <v>BMW E46</v>
      </c>
      <c r="H17" s="76">
        <f>IFERROR(__xludf.DUMMYFUNCTION("""COMPUTED_VALUE"""),77.0)</f>
        <v>77</v>
      </c>
      <c r="I17" s="76">
        <f>IFERROR(__xludf.DUMMYFUNCTION("""COMPUTED_VALUE"""),78.0)</f>
        <v>78</v>
      </c>
      <c r="J17" s="79">
        <f>IFERROR(__xludf.DUMMYFUNCTION("""COMPUTED_VALUE"""),78.0077)</f>
        <v>78.0077</v>
      </c>
      <c r="K17" s="80">
        <f>IFERROR(__xludf.DUMMYFUNCTION("""COMPUTED_VALUE"""),77.0)</f>
        <v>77</v>
      </c>
    </row>
    <row r="18">
      <c r="C18" s="55">
        <f>IFERROR(__xludf.DUMMYFUNCTION("""COMPUTED_VALUE"""),12.0)</f>
        <v>12</v>
      </c>
      <c r="D18" s="55">
        <f>IFERROR(__xludf.DUMMYFUNCTION("""COMPUTED_VALUE"""),777.0)</f>
        <v>777</v>
      </c>
      <c r="E18" s="56" t="str">
        <f>IFERROR(__xludf.DUMMYFUNCTION("""COMPUTED_VALUE"""),"Jose Osuna")</f>
        <v>Jose Osuna</v>
      </c>
      <c r="F18" s="56" t="str">
        <f>IFERROR(__xludf.DUMMYFUNCTION("""COMPUTED_VALUE"""),"Mexico")</f>
        <v>Mexico</v>
      </c>
      <c r="G18" s="56" t="str">
        <f>IFERROR(__xludf.DUMMYFUNCTION("""COMPUTED_VALUE"""),"BMW E36")</f>
        <v>BMW E36</v>
      </c>
      <c r="H18" s="56">
        <f>IFERROR(__xludf.DUMMYFUNCTION("""COMPUTED_VALUE"""),43.0)</f>
        <v>43</v>
      </c>
      <c r="I18" s="56">
        <f>IFERROR(__xludf.DUMMYFUNCTION("""COMPUTED_VALUE"""),66.0)</f>
        <v>66</v>
      </c>
      <c r="J18" s="58">
        <f>IFERROR(__xludf.DUMMYFUNCTION("""COMPUTED_VALUE"""),66.0043)</f>
        <v>66.0043</v>
      </c>
      <c r="K18" s="59">
        <f>IFERROR(__xludf.DUMMYFUNCTION("""COMPUTED_VALUE"""),43.0)</f>
        <v>43</v>
      </c>
    </row>
    <row r="19">
      <c r="C19" s="75">
        <f>IFERROR(__xludf.DUMMYFUNCTION("""COMPUTED_VALUE"""),13.0)</f>
        <v>13</v>
      </c>
      <c r="D19" s="75">
        <f>IFERROR(__xludf.DUMMYFUNCTION("""COMPUTED_VALUE"""),888.0)</f>
        <v>888</v>
      </c>
      <c r="E19" s="76" t="str">
        <f>IFERROR(__xludf.DUMMYFUNCTION("""COMPUTED_VALUE"""),"Amanzhol Bolekbayev")</f>
        <v>Amanzhol Bolekbayev</v>
      </c>
      <c r="F19" s="76" t="str">
        <f>IFERROR(__xludf.DUMMYFUNCTION("""COMPUTED_VALUE"""),"Kazakhstan")</f>
        <v>Kazakhstan</v>
      </c>
      <c r="G19" s="76" t="str">
        <f>IFERROR(__xludf.DUMMYFUNCTION("""COMPUTED_VALUE"""),"BMW E36")</f>
        <v>BMW E36</v>
      </c>
      <c r="H19" s="76">
        <f>IFERROR(__xludf.DUMMYFUNCTION("""COMPUTED_VALUE"""),56.0)</f>
        <v>56</v>
      </c>
      <c r="I19" s="76">
        <f>IFERROR(__xludf.DUMMYFUNCTION("""COMPUTED_VALUE"""),35.0)</f>
        <v>35</v>
      </c>
      <c r="J19" s="79">
        <f>IFERROR(__xludf.DUMMYFUNCTION("""COMPUTED_VALUE"""),56.0035)</f>
        <v>56.0035</v>
      </c>
      <c r="K19" s="80">
        <f>IFERROR(__xludf.DUMMYFUNCTION("""COMPUTED_VALUE"""),35.0)</f>
        <v>35</v>
      </c>
    </row>
    <row r="20">
      <c r="C20" s="55">
        <f>IFERROR(__xludf.DUMMYFUNCTION("""COMPUTED_VALUE"""),14.0)</f>
        <v>14</v>
      </c>
      <c r="D20" s="55">
        <f>IFERROR(__xludf.DUMMYFUNCTION("""COMPUTED_VALUE"""),18.0)</f>
        <v>18</v>
      </c>
      <c r="E20" s="56" t="str">
        <f>IFERROR(__xludf.DUMMYFUNCTION("""COMPUTED_VALUE"""),"Matīss Lācis")</f>
        <v>Matīss Lācis</v>
      </c>
      <c r="F20" s="56" t="str">
        <f>IFERROR(__xludf.DUMMYFUNCTION("""COMPUTED_VALUE"""),"Latvia")</f>
        <v>Latvia</v>
      </c>
      <c r="G20" s="56" t="str">
        <f>IFERROR(__xludf.DUMMYFUNCTION("""COMPUTED_VALUE"""),"BMW E46")</f>
        <v>BMW E46</v>
      </c>
      <c r="H20" s="56">
        <f>IFERROR(__xludf.DUMMYFUNCTION("""COMPUTED_VALUE"""),69.0)</f>
        <v>69</v>
      </c>
      <c r="I20" s="56">
        <f>IFERROR(__xludf.DUMMYFUNCTION("""COMPUTED_VALUE"""),86.0)</f>
        <v>86</v>
      </c>
      <c r="J20" s="58">
        <f>IFERROR(__xludf.DUMMYFUNCTION("""COMPUTED_VALUE"""),86.0069)</f>
        <v>86.0069</v>
      </c>
      <c r="K20" s="59">
        <f>IFERROR(__xludf.DUMMYFUNCTION("""COMPUTED_VALUE"""),69.0)</f>
        <v>69</v>
      </c>
    </row>
    <row r="21">
      <c r="C21" s="75">
        <f>IFERROR(__xludf.DUMMYFUNCTION("""COMPUTED_VALUE"""),15.0)</f>
        <v>15</v>
      </c>
      <c r="D21" s="75">
        <f>IFERROR(__xludf.DUMMYFUNCTION("""COMPUTED_VALUE"""),24.0)</f>
        <v>24</v>
      </c>
      <c r="E21" s="76" t="str">
        <f>IFERROR(__xludf.DUMMYFUNCTION("""COMPUTED_VALUE"""),"Dāvis Rastoks")</f>
        <v>Dāvis Rastoks</v>
      </c>
      <c r="F21" s="76" t="str">
        <f>IFERROR(__xludf.DUMMYFUNCTION("""COMPUTED_VALUE"""),"Latvia")</f>
        <v>Latvia</v>
      </c>
      <c r="G21" s="76" t="str">
        <f>IFERROR(__xludf.DUMMYFUNCTION("""COMPUTED_VALUE"""),"BMW E36")</f>
        <v>BMW E36</v>
      </c>
      <c r="H21" s="76">
        <f>IFERROR(__xludf.DUMMYFUNCTION("""COMPUTED_VALUE"""),0.0)</f>
        <v>0</v>
      </c>
      <c r="I21" s="76">
        <f>IFERROR(__xludf.DUMMYFUNCTION("""COMPUTED_VALUE"""),60.0)</f>
        <v>60</v>
      </c>
      <c r="J21" s="79">
        <f>IFERROR(__xludf.DUMMYFUNCTION("""COMPUTED_VALUE"""),60.0)</f>
        <v>60</v>
      </c>
      <c r="K21" s="80">
        <f>IFERROR(__xludf.DUMMYFUNCTION("""COMPUTED_VALUE"""),0.0)</f>
        <v>0</v>
      </c>
    </row>
    <row r="22">
      <c r="B22" s="73"/>
      <c r="C22" s="55">
        <f>IFERROR(__xludf.DUMMYFUNCTION("""COMPUTED_VALUE"""),16.0)</f>
        <v>16</v>
      </c>
      <c r="D22" s="55"/>
      <c r="E22" s="56" t="str">
        <f>IFERROR(__xludf.DUMMYFUNCTION("""COMPUTED_VALUE"""),"")</f>
        <v/>
      </c>
      <c r="F22" s="56" t="str">
        <f>IFERROR(__xludf.DUMMYFUNCTION("""COMPUTED_VALUE"""),"")</f>
        <v/>
      </c>
      <c r="G22" s="56" t="str">
        <f>IFERROR(__xludf.DUMMYFUNCTION("""COMPUTED_VALUE"""),"")</f>
        <v/>
      </c>
      <c r="H22" s="56" t="str">
        <f>IFERROR(__xludf.DUMMYFUNCTION("""COMPUTED_VALUE"""),"")</f>
        <v/>
      </c>
      <c r="I22" s="56" t="str">
        <f>IFERROR(__xludf.DUMMYFUNCTION("""COMPUTED_VALUE"""),"")</f>
        <v/>
      </c>
      <c r="J22" s="58">
        <f>IFERROR(__xludf.DUMMYFUNCTION("""COMPUTED_VALUE"""),0.0)</f>
        <v>0</v>
      </c>
      <c r="K22" s="59">
        <f>IFERROR(__xludf.DUMMYFUNCTION("""COMPUTED_VALUE"""),0.0)</f>
        <v>0</v>
      </c>
    </row>
    <row r="23">
      <c r="B23" s="91" t="str">
        <f>IFERROR(__xludf.DUMMYFUNCTION("""COMPUTED_VALUE"""),"C")</f>
        <v>C</v>
      </c>
      <c r="C23" s="60">
        <f>IFERROR(__xludf.DUMMYFUNCTION("""COMPUTED_VALUE"""),17.0)</f>
        <v>17</v>
      </c>
      <c r="D23" s="60"/>
      <c r="E23" s="62" t="str">
        <f>IFERROR(__xludf.DUMMYFUNCTION("""COMPUTED_VALUE"""),"")</f>
        <v/>
      </c>
      <c r="F23" s="62" t="str">
        <f>IFERROR(__xludf.DUMMYFUNCTION("""COMPUTED_VALUE"""),"")</f>
        <v/>
      </c>
      <c r="G23" s="62" t="str">
        <f>IFERROR(__xludf.DUMMYFUNCTION("""COMPUTED_VALUE"""),"")</f>
        <v/>
      </c>
      <c r="H23" s="62" t="str">
        <f>IFERROR(__xludf.DUMMYFUNCTION("""COMPUTED_VALUE"""),"")</f>
        <v/>
      </c>
      <c r="I23" s="62" t="str">
        <f>IFERROR(__xludf.DUMMYFUNCTION("""COMPUTED_VALUE"""),"")</f>
        <v/>
      </c>
      <c r="J23" s="65">
        <f>IFERROR(__xludf.DUMMYFUNCTION("""COMPUTED_VALUE"""),0.0)</f>
        <v>0</v>
      </c>
      <c r="K23" s="66">
        <f>IFERROR(__xludf.DUMMYFUNCTION("""COMPUTED_VALUE"""),0.0)</f>
        <v>0</v>
      </c>
    </row>
    <row r="24">
      <c r="C24" s="55">
        <f>IFERROR(__xludf.DUMMYFUNCTION("""COMPUTED_VALUE"""),18.0)</f>
        <v>18</v>
      </c>
      <c r="D24" s="55">
        <f>IFERROR(__xludf.DUMMYFUNCTION("""COMPUTED_VALUE"""),47.0)</f>
        <v>47</v>
      </c>
      <c r="E24" s="56" t="str">
        <f>IFERROR(__xludf.DUMMYFUNCTION("""COMPUTED_VALUE"""),"Dominik Đurin")</f>
        <v>Dominik Đurin</v>
      </c>
      <c r="F24" s="56" t="str">
        <f>IFERROR(__xludf.DUMMYFUNCTION("""COMPUTED_VALUE"""),"Croatia")</f>
        <v>Croatia</v>
      </c>
      <c r="G24" s="56" t="str">
        <f>IFERROR(__xludf.DUMMYFUNCTION("""COMPUTED_VALUE"""),"BMW E46")</f>
        <v>BMW E46</v>
      </c>
      <c r="H24" s="56">
        <f>IFERROR(__xludf.DUMMYFUNCTION("""COMPUTED_VALUE"""),46.0)</f>
        <v>46</v>
      </c>
      <c r="I24" s="56">
        <f>IFERROR(__xludf.DUMMYFUNCTION("""COMPUTED_VALUE"""),0.0)</f>
        <v>0</v>
      </c>
      <c r="J24" s="58">
        <f>IFERROR(__xludf.DUMMYFUNCTION("""COMPUTED_VALUE"""),46.0)</f>
        <v>46</v>
      </c>
      <c r="K24" s="59">
        <f>IFERROR(__xludf.DUMMYFUNCTION("""COMPUTED_VALUE"""),0.0)</f>
        <v>0</v>
      </c>
    </row>
    <row r="25">
      <c r="C25" s="60">
        <f>IFERROR(__xludf.DUMMYFUNCTION("""COMPUTED_VALUE"""),19.0)</f>
        <v>19</v>
      </c>
      <c r="D25" s="60">
        <f>IFERROR(__xludf.DUMMYFUNCTION("""COMPUTED_VALUE"""),59.0)</f>
        <v>59</v>
      </c>
      <c r="E25" s="62" t="str">
        <f>IFERROR(__xludf.DUMMYFUNCTION("""COMPUTED_VALUE"""),"Oleh Solomoichenko")</f>
        <v>Oleh Solomoichenko</v>
      </c>
      <c r="F25" s="62" t="str">
        <f>IFERROR(__xludf.DUMMYFUNCTION("""COMPUTED_VALUE"""),"Ukraine")</f>
        <v>Ukraine</v>
      </c>
      <c r="G25" s="62" t="str">
        <f>IFERROR(__xludf.DUMMYFUNCTION("""COMPUTED_VALUE"""),"BMW E46")</f>
        <v>BMW E46</v>
      </c>
      <c r="H25" s="62">
        <f>IFERROR(__xludf.DUMMYFUNCTION("""COMPUTED_VALUE"""),70.0)</f>
        <v>70</v>
      </c>
      <c r="I25" s="62">
        <f>IFERROR(__xludf.DUMMYFUNCTION("""COMPUTED_VALUE"""),58.0)</f>
        <v>58</v>
      </c>
      <c r="J25" s="65">
        <f>IFERROR(__xludf.DUMMYFUNCTION("""COMPUTED_VALUE"""),70.0058)</f>
        <v>70.0058</v>
      </c>
      <c r="K25" s="66">
        <f>IFERROR(__xludf.DUMMYFUNCTION("""COMPUTED_VALUE"""),58.0)</f>
        <v>58</v>
      </c>
    </row>
    <row r="26">
      <c r="C26" s="55">
        <f>IFERROR(__xludf.DUMMYFUNCTION("""COMPUTED_VALUE"""),20.0)</f>
        <v>20</v>
      </c>
      <c r="D26" s="55">
        <f>IFERROR(__xludf.DUMMYFUNCTION("""COMPUTED_VALUE"""),314.0)</f>
        <v>314</v>
      </c>
      <c r="E26" s="56" t="str">
        <f>IFERROR(__xludf.DUMMYFUNCTION("""COMPUTED_VALUE"""),"Adrian Roncero")</f>
        <v>Adrian Roncero</v>
      </c>
      <c r="F26" s="56" t="str">
        <f>IFERROR(__xludf.DUMMYFUNCTION("""COMPUTED_VALUE"""),"Spain")</f>
        <v>Spain</v>
      </c>
      <c r="G26" s="56" t="str">
        <f>IFERROR(__xludf.DUMMYFUNCTION("""COMPUTED_VALUE"""),"BMW E36")</f>
        <v>BMW E36</v>
      </c>
      <c r="H26" s="56">
        <f>IFERROR(__xludf.DUMMYFUNCTION("""COMPUTED_VALUE"""),0.0)</f>
        <v>0</v>
      </c>
      <c r="I26" s="56">
        <f>IFERROR(__xludf.DUMMYFUNCTION("""COMPUTED_VALUE"""),83.0)</f>
        <v>83</v>
      </c>
      <c r="J26" s="58">
        <f>IFERROR(__xludf.DUMMYFUNCTION("""COMPUTED_VALUE"""),83.0)</f>
        <v>83</v>
      </c>
      <c r="K26" s="59">
        <f>IFERROR(__xludf.DUMMYFUNCTION("""COMPUTED_VALUE"""),0.0)</f>
        <v>0</v>
      </c>
    </row>
    <row r="27">
      <c r="C27" s="60">
        <f>IFERROR(__xludf.DUMMYFUNCTION("""COMPUTED_VALUE"""),21.0)</f>
        <v>21</v>
      </c>
      <c r="D27" s="60">
        <f>IFERROR(__xludf.DUMMYFUNCTION("""COMPUTED_VALUE"""),90.0)</f>
        <v>90</v>
      </c>
      <c r="E27" s="62" t="str">
        <f>IFERROR(__xludf.DUMMYFUNCTION("""COMPUTED_VALUE"""),"Rolandas Mišauskas")</f>
        <v>Rolandas Mišauskas</v>
      </c>
      <c r="F27" s="62" t="str">
        <f>IFERROR(__xludf.DUMMYFUNCTION("""COMPUTED_VALUE"""),"Lithuania")</f>
        <v>Lithuania</v>
      </c>
      <c r="G27" s="62" t="str">
        <f>IFERROR(__xludf.DUMMYFUNCTION("""COMPUTED_VALUE"""),"BMW E36")</f>
        <v>BMW E36</v>
      </c>
      <c r="H27" s="62">
        <f>IFERROR(__xludf.DUMMYFUNCTION("""COMPUTED_VALUE"""),48.0)</f>
        <v>48</v>
      </c>
      <c r="I27" s="62">
        <f>IFERROR(__xludf.DUMMYFUNCTION("""COMPUTED_VALUE"""),61.0)</f>
        <v>61</v>
      </c>
      <c r="J27" s="65">
        <f>IFERROR(__xludf.DUMMYFUNCTION("""COMPUTED_VALUE"""),61.0048)</f>
        <v>61.0048</v>
      </c>
      <c r="K27" s="66">
        <f>IFERROR(__xludf.DUMMYFUNCTION("""COMPUTED_VALUE"""),48.0)</f>
        <v>48</v>
      </c>
    </row>
    <row r="28">
      <c r="C28" s="55">
        <f>IFERROR(__xludf.DUMMYFUNCTION("""COMPUTED_VALUE"""),22.0)</f>
        <v>22</v>
      </c>
      <c r="D28" s="55">
        <f>IFERROR(__xludf.DUMMYFUNCTION("""COMPUTED_VALUE"""),43.0)</f>
        <v>43</v>
      </c>
      <c r="E28" s="56" t="str">
        <f>IFERROR(__xludf.DUMMYFUNCTION("""COMPUTED_VALUE"""),"Azamat Maigarin")</f>
        <v>Azamat Maigarin</v>
      </c>
      <c r="F28" s="56" t="str">
        <f>IFERROR(__xludf.DUMMYFUNCTION("""COMPUTED_VALUE"""),"Kazakhstan")</f>
        <v>Kazakhstan</v>
      </c>
      <c r="G28" s="56" t="str">
        <f>IFERROR(__xludf.DUMMYFUNCTION("""COMPUTED_VALUE"""),"BMW E36")</f>
        <v>BMW E36</v>
      </c>
      <c r="H28" s="56">
        <f>IFERROR(__xludf.DUMMYFUNCTION("""COMPUTED_VALUE"""),60.0)</f>
        <v>60</v>
      </c>
      <c r="I28" s="56">
        <f>IFERROR(__xludf.DUMMYFUNCTION("""COMPUTED_VALUE"""),62.0)</f>
        <v>62</v>
      </c>
      <c r="J28" s="58">
        <f>IFERROR(__xludf.DUMMYFUNCTION("""COMPUTED_VALUE"""),62.006)</f>
        <v>62.006</v>
      </c>
      <c r="K28" s="59">
        <f>IFERROR(__xludf.DUMMYFUNCTION("""COMPUTED_VALUE"""),60.0)</f>
        <v>60</v>
      </c>
    </row>
    <row r="29">
      <c r="C29" s="60">
        <f>IFERROR(__xludf.DUMMYFUNCTION("""COMPUTED_VALUE"""),23.0)</f>
        <v>23</v>
      </c>
      <c r="D29" s="60">
        <f>IFERROR(__xludf.DUMMYFUNCTION("""COMPUTED_VALUE"""),9.0)</f>
        <v>9</v>
      </c>
      <c r="E29" s="62" t="str">
        <f>IFERROR(__xludf.DUMMYFUNCTION("""COMPUTED_VALUE"""),"Benas Jonutis")</f>
        <v>Benas Jonutis</v>
      </c>
      <c r="F29" s="62" t="str">
        <f>IFERROR(__xludf.DUMMYFUNCTION("""COMPUTED_VALUE"""),"Lithuania")</f>
        <v>Lithuania</v>
      </c>
      <c r="G29" s="62" t="str">
        <f>IFERROR(__xludf.DUMMYFUNCTION("""COMPUTED_VALUE"""),"BMW E36")</f>
        <v>BMW E36</v>
      </c>
      <c r="H29" s="62">
        <f>IFERROR(__xludf.DUMMYFUNCTION("""COMPUTED_VALUE"""),70.0)</f>
        <v>70</v>
      </c>
      <c r="I29" s="62">
        <f>IFERROR(__xludf.DUMMYFUNCTION("""COMPUTED_VALUE"""),70.0)</f>
        <v>70</v>
      </c>
      <c r="J29" s="65">
        <f>IFERROR(__xludf.DUMMYFUNCTION("""COMPUTED_VALUE"""),70.007)</f>
        <v>70.007</v>
      </c>
      <c r="K29" s="66">
        <f>IFERROR(__xludf.DUMMYFUNCTION("""COMPUTED_VALUE"""),70.0)</f>
        <v>70</v>
      </c>
    </row>
    <row r="30">
      <c r="B30" s="73"/>
      <c r="C30" s="55">
        <f>IFERROR(__xludf.DUMMYFUNCTION("""COMPUTED_VALUE"""),24.0)</f>
        <v>24</v>
      </c>
      <c r="D30" s="55">
        <f>IFERROR(__xludf.DUMMYFUNCTION("""COMPUTED_VALUE"""),420.0)</f>
        <v>420</v>
      </c>
      <c r="E30" s="56" t="str">
        <f>IFERROR(__xludf.DUMMYFUNCTION("""COMPUTED_VALUE"""),"Eduards Rēdmanis")</f>
        <v>Eduards Rēdmanis</v>
      </c>
      <c r="F30" s="56" t="str">
        <f>IFERROR(__xludf.DUMMYFUNCTION("""COMPUTED_VALUE"""),"Latvia")</f>
        <v>Latvia</v>
      </c>
      <c r="G30" s="56" t="str">
        <f>IFERROR(__xludf.DUMMYFUNCTION("""COMPUTED_VALUE"""),"BMW E46")</f>
        <v>BMW E46</v>
      </c>
      <c r="H30" s="56">
        <f>IFERROR(__xludf.DUMMYFUNCTION("""COMPUTED_VALUE"""),69.0)</f>
        <v>69</v>
      </c>
      <c r="I30" s="56">
        <f>IFERROR(__xludf.DUMMYFUNCTION("""COMPUTED_VALUE"""),59.0)</f>
        <v>59</v>
      </c>
      <c r="J30" s="58">
        <f>IFERROR(__xludf.DUMMYFUNCTION("""COMPUTED_VALUE"""),69.0059)</f>
        <v>69.0059</v>
      </c>
      <c r="K30" s="59">
        <f>IFERROR(__xludf.DUMMYFUNCTION("""COMPUTED_VALUE"""),59.0)</f>
        <v>59</v>
      </c>
    </row>
    <row r="31">
      <c r="B31" s="74" t="str">
        <f>IFERROR(__xludf.DUMMYFUNCTION("""COMPUTED_VALUE"""),"D")</f>
        <v>D</v>
      </c>
      <c r="C31" s="75">
        <f>IFERROR(__xludf.DUMMYFUNCTION("""COMPUTED_VALUE"""),25.0)</f>
        <v>25</v>
      </c>
      <c r="D31" s="75">
        <f>IFERROR(__xludf.DUMMYFUNCTION("""COMPUTED_VALUE"""),686.0)</f>
        <v>686</v>
      </c>
      <c r="E31" s="76" t="str">
        <f>IFERROR(__xludf.DUMMYFUNCTION("""COMPUTED_VALUE"""),"Luis Treviño")</f>
        <v>Luis Treviño</v>
      </c>
      <c r="F31" s="76" t="str">
        <f>IFERROR(__xludf.DUMMYFUNCTION("""COMPUTED_VALUE"""),"Spain")</f>
        <v>Spain</v>
      </c>
      <c r="G31" s="76" t="str">
        <f>IFERROR(__xludf.DUMMYFUNCTION("""COMPUTED_VALUE"""),"BMW E36")</f>
        <v>BMW E36</v>
      </c>
      <c r="H31" s="76">
        <f>IFERROR(__xludf.DUMMYFUNCTION("""COMPUTED_VALUE"""),83.0)</f>
        <v>83</v>
      </c>
      <c r="I31" s="76">
        <f>IFERROR(__xludf.DUMMYFUNCTION("""COMPUTED_VALUE"""),0.0)</f>
        <v>0</v>
      </c>
      <c r="J31" s="79">
        <f>IFERROR(__xludf.DUMMYFUNCTION("""COMPUTED_VALUE"""),83.0)</f>
        <v>83</v>
      </c>
      <c r="K31" s="80">
        <f>IFERROR(__xludf.DUMMYFUNCTION("""COMPUTED_VALUE"""),0.0)</f>
        <v>0</v>
      </c>
    </row>
    <row r="32">
      <c r="C32" s="55">
        <f>IFERROR(__xludf.DUMMYFUNCTION("""COMPUTED_VALUE"""),26.0)</f>
        <v>26</v>
      </c>
      <c r="D32" s="55">
        <f>IFERROR(__xludf.DUMMYFUNCTION("""COMPUTED_VALUE"""),412.0)</f>
        <v>412</v>
      </c>
      <c r="E32" s="56" t="str">
        <f>IFERROR(__xludf.DUMMYFUNCTION("""COMPUTED_VALUE"""),"Owen Ellis")</f>
        <v>Owen Ellis</v>
      </c>
      <c r="F32" s="56" t="str">
        <f>IFERROR(__xludf.DUMMYFUNCTION("""COMPUTED_VALUE"""),"United States")</f>
        <v>United States</v>
      </c>
      <c r="G32" s="56" t="str">
        <f>IFERROR(__xludf.DUMMYFUNCTION("""COMPUTED_VALUE"""),"BMW E46")</f>
        <v>BMW E46</v>
      </c>
      <c r="H32" s="56">
        <f>IFERROR(__xludf.DUMMYFUNCTION("""COMPUTED_VALUE"""),79.0)</f>
        <v>79</v>
      </c>
      <c r="I32" s="56">
        <f>IFERROR(__xludf.DUMMYFUNCTION("""COMPUTED_VALUE"""),83.0)</f>
        <v>83</v>
      </c>
      <c r="J32" s="58">
        <f>IFERROR(__xludf.DUMMYFUNCTION("""COMPUTED_VALUE"""),83.0079)</f>
        <v>83.0079</v>
      </c>
      <c r="K32" s="59">
        <f>IFERROR(__xludf.DUMMYFUNCTION("""COMPUTED_VALUE"""),79.0)</f>
        <v>79</v>
      </c>
    </row>
    <row r="33">
      <c r="C33" s="75">
        <f>IFERROR(__xludf.DUMMYFUNCTION("""COMPUTED_VALUE"""),27.0)</f>
        <v>27</v>
      </c>
      <c r="D33" s="75"/>
      <c r="E33" s="76" t="str">
        <f>IFERROR(__xludf.DUMMYFUNCTION("""COMPUTED_VALUE"""),"")</f>
        <v/>
      </c>
      <c r="F33" s="76" t="str">
        <f>IFERROR(__xludf.DUMMYFUNCTION("""COMPUTED_VALUE"""),"")</f>
        <v/>
      </c>
      <c r="G33" s="76" t="str">
        <f>IFERROR(__xludf.DUMMYFUNCTION("""COMPUTED_VALUE"""),"")</f>
        <v/>
      </c>
      <c r="H33" s="76" t="str">
        <f>IFERROR(__xludf.DUMMYFUNCTION("""COMPUTED_VALUE"""),"")</f>
        <v/>
      </c>
      <c r="I33" s="76" t="str">
        <f>IFERROR(__xludf.DUMMYFUNCTION("""COMPUTED_VALUE"""),"")</f>
        <v/>
      </c>
      <c r="J33" s="79">
        <f>IFERROR(__xludf.DUMMYFUNCTION("""COMPUTED_VALUE"""),0.0)</f>
        <v>0</v>
      </c>
      <c r="K33" s="80">
        <f>IFERROR(__xludf.DUMMYFUNCTION("""COMPUTED_VALUE"""),0.0)</f>
        <v>0</v>
      </c>
    </row>
    <row r="34">
      <c r="C34" s="55">
        <f>IFERROR(__xludf.DUMMYFUNCTION("""COMPUTED_VALUE"""),28.0)</f>
        <v>28</v>
      </c>
      <c r="D34" s="55">
        <f>IFERROR(__xludf.DUMMYFUNCTION("""COMPUTED_VALUE"""),5.0)</f>
        <v>5</v>
      </c>
      <c r="E34" s="56" t="str">
        <f>IFERROR(__xludf.DUMMYFUNCTION("""COMPUTED_VALUE"""),"Kristiāns Austriņš")</f>
        <v>Kristiāns Austriņš</v>
      </c>
      <c r="F34" s="56" t="str">
        <f>IFERROR(__xludf.DUMMYFUNCTION("""COMPUTED_VALUE"""),"Latvia")</f>
        <v>Latvia</v>
      </c>
      <c r="G34" s="56" t="str">
        <f>IFERROR(__xludf.DUMMYFUNCTION("""COMPUTED_VALUE"""),"BMW E36")</f>
        <v>BMW E36</v>
      </c>
      <c r="H34" s="56">
        <f>IFERROR(__xludf.DUMMYFUNCTION("""COMPUTED_VALUE"""),0.0)</f>
        <v>0</v>
      </c>
      <c r="I34" s="56">
        <f>IFERROR(__xludf.DUMMYFUNCTION("""COMPUTED_VALUE"""),61.0)</f>
        <v>61</v>
      </c>
      <c r="J34" s="58">
        <f>IFERROR(__xludf.DUMMYFUNCTION("""COMPUTED_VALUE"""),61.0)</f>
        <v>61</v>
      </c>
      <c r="K34" s="59">
        <f>IFERROR(__xludf.DUMMYFUNCTION("""COMPUTED_VALUE"""),0.0)</f>
        <v>0</v>
      </c>
    </row>
    <row r="35">
      <c r="C35" s="75">
        <f>IFERROR(__xludf.DUMMYFUNCTION("""COMPUTED_VALUE"""),29.0)</f>
        <v>29</v>
      </c>
      <c r="D35" s="75">
        <f>IFERROR(__xludf.DUMMYFUNCTION("""COMPUTED_VALUE"""),117.0)</f>
        <v>117</v>
      </c>
      <c r="E35" s="76" t="str">
        <f>IFERROR(__xludf.DUMMYFUNCTION("""COMPUTED_VALUE"""),"Liliana Lang")</f>
        <v>Liliana Lang</v>
      </c>
      <c r="F35" s="76" t="str">
        <f>IFERROR(__xludf.DUMMYFUNCTION("""COMPUTED_VALUE"""),"Austria")</f>
        <v>Austria</v>
      </c>
      <c r="G35" s="76" t="str">
        <f>IFERROR(__xludf.DUMMYFUNCTION("""COMPUTED_VALUE"""),"BMW E36")</f>
        <v>BMW E36</v>
      </c>
      <c r="H35" s="76">
        <f>IFERROR(__xludf.DUMMYFUNCTION("""COMPUTED_VALUE"""),72.0)</f>
        <v>72</v>
      </c>
      <c r="I35" s="76">
        <f>IFERROR(__xludf.DUMMYFUNCTION("""COMPUTED_VALUE"""),79.0)</f>
        <v>79</v>
      </c>
      <c r="J35" s="79">
        <f>IFERROR(__xludf.DUMMYFUNCTION("""COMPUTED_VALUE"""),79.0072)</f>
        <v>79.0072</v>
      </c>
      <c r="K35" s="80">
        <f>IFERROR(__xludf.DUMMYFUNCTION("""COMPUTED_VALUE"""),72.0)</f>
        <v>72</v>
      </c>
    </row>
    <row r="36">
      <c r="C36" s="55">
        <f>IFERROR(__xludf.DUMMYFUNCTION("""COMPUTED_VALUE"""),30.0)</f>
        <v>30</v>
      </c>
      <c r="D36" s="55">
        <f>IFERROR(__xludf.DUMMYFUNCTION("""COMPUTED_VALUE"""),27.0)</f>
        <v>27</v>
      </c>
      <c r="E36" s="56" t="str">
        <f>IFERROR(__xludf.DUMMYFUNCTION("""COMPUTED_VALUE"""),"juanjo munoz")</f>
        <v>juanjo munoz</v>
      </c>
      <c r="F36" s="56" t="str">
        <f>IFERROR(__xludf.DUMMYFUNCTION("""COMPUTED_VALUE"""),"Spain")</f>
        <v>Spain</v>
      </c>
      <c r="G36" s="56" t="str">
        <f>IFERROR(__xludf.DUMMYFUNCTION("""COMPUTED_VALUE"""),"BMW E46")</f>
        <v>BMW E46</v>
      </c>
      <c r="H36" s="56">
        <f>IFERROR(__xludf.DUMMYFUNCTION("""COMPUTED_VALUE"""),54.0)</f>
        <v>54</v>
      </c>
      <c r="I36" s="56">
        <f>IFERROR(__xludf.DUMMYFUNCTION("""COMPUTED_VALUE"""),0.0)</f>
        <v>0</v>
      </c>
      <c r="J36" s="58">
        <f>IFERROR(__xludf.DUMMYFUNCTION("""COMPUTED_VALUE"""),54.0)</f>
        <v>54</v>
      </c>
      <c r="K36" s="59">
        <f>IFERROR(__xludf.DUMMYFUNCTION("""COMPUTED_VALUE"""),0.0)</f>
        <v>0</v>
      </c>
    </row>
    <row r="37">
      <c r="C37" s="75">
        <f>IFERROR(__xludf.DUMMYFUNCTION("""COMPUTED_VALUE"""),31.0)</f>
        <v>31</v>
      </c>
      <c r="D37" s="75">
        <f>IFERROR(__xludf.DUMMYFUNCTION("""COMPUTED_VALUE"""),44.0)</f>
        <v>44</v>
      </c>
      <c r="E37" s="76" t="str">
        <f>IFERROR(__xludf.DUMMYFUNCTION("""COMPUTED_VALUE"""),"Vilius Prizgintas")</f>
        <v>Vilius Prizgintas</v>
      </c>
      <c r="F37" s="76" t="str">
        <f>IFERROR(__xludf.DUMMYFUNCTION("""COMPUTED_VALUE"""),"Lithuania")</f>
        <v>Lithuania</v>
      </c>
      <c r="G37" s="76" t="str">
        <f>IFERROR(__xludf.DUMMYFUNCTION("""COMPUTED_VALUE"""),"BMW E36")</f>
        <v>BMW E36</v>
      </c>
      <c r="H37" s="76">
        <f>IFERROR(__xludf.DUMMYFUNCTION("""COMPUTED_VALUE"""),60.0)</f>
        <v>60</v>
      </c>
      <c r="I37" s="76">
        <f>IFERROR(__xludf.DUMMYFUNCTION("""COMPUTED_VALUE"""),62.0)</f>
        <v>62</v>
      </c>
      <c r="J37" s="79">
        <f>IFERROR(__xludf.DUMMYFUNCTION("""COMPUTED_VALUE"""),62.006)</f>
        <v>62.006</v>
      </c>
      <c r="K37" s="80">
        <f>IFERROR(__xludf.DUMMYFUNCTION("""COMPUTED_VALUE"""),60.0)</f>
        <v>60</v>
      </c>
    </row>
    <row r="38">
      <c r="B38" s="73"/>
      <c r="C38" s="55">
        <f>IFERROR(__xludf.DUMMYFUNCTION("""COMPUTED_VALUE"""),32.0)</f>
        <v>32</v>
      </c>
      <c r="D38" s="55">
        <f>IFERROR(__xludf.DUMMYFUNCTION("""COMPUTED_VALUE"""),88.0)</f>
        <v>88</v>
      </c>
      <c r="E38" s="56" t="str">
        <f>IFERROR(__xludf.DUMMYFUNCTION("""COMPUTED_VALUE"""),"Daniel Kvasha")</f>
        <v>Daniel Kvasha</v>
      </c>
      <c r="F38" s="56" t="str">
        <f>IFERROR(__xludf.DUMMYFUNCTION("""COMPUTED_VALUE"""),"Israel")</f>
        <v>Israel</v>
      </c>
      <c r="G38" s="56" t="str">
        <f>IFERROR(__xludf.DUMMYFUNCTION("""COMPUTED_VALUE"""),"BMW E36")</f>
        <v>BMW E36</v>
      </c>
      <c r="H38" s="56">
        <f>IFERROR(__xludf.DUMMYFUNCTION("""COMPUTED_VALUE"""),67.0)</f>
        <v>67</v>
      </c>
      <c r="I38" s="56">
        <f>IFERROR(__xludf.DUMMYFUNCTION("""COMPUTED_VALUE"""),71.0)</f>
        <v>71</v>
      </c>
      <c r="J38" s="58">
        <f>IFERROR(__xludf.DUMMYFUNCTION("""COMPUTED_VALUE"""),71.0067)</f>
        <v>71.0067</v>
      </c>
      <c r="K38" s="59">
        <f>IFERROR(__xludf.DUMMYFUNCTION("""COMPUTED_VALUE"""),67.0)</f>
        <v>67</v>
      </c>
    </row>
    <row r="39">
      <c r="B39" s="47" t="str">
        <f>IFERROR(__xludf.DUMMYFUNCTION("""COMPUTED_VALUE"""),"E")</f>
        <v>E</v>
      </c>
      <c r="C39" s="48">
        <f>IFERROR(__xludf.DUMMYFUNCTION("""COMPUTED_VALUE"""),33.0)</f>
        <v>33</v>
      </c>
      <c r="D39" s="48"/>
      <c r="E39" s="51" t="str">
        <f>IFERROR(__xludf.DUMMYFUNCTION("""COMPUTED_VALUE"""),"")</f>
        <v/>
      </c>
      <c r="F39" s="51" t="str">
        <f>IFERROR(__xludf.DUMMYFUNCTION("""COMPUTED_VALUE"""),"")</f>
        <v/>
      </c>
      <c r="G39" s="51" t="str">
        <f>IFERROR(__xludf.DUMMYFUNCTION("""COMPUTED_VALUE"""),"")</f>
        <v/>
      </c>
      <c r="H39" s="51" t="str">
        <f>IFERROR(__xludf.DUMMYFUNCTION("""COMPUTED_VALUE"""),"")</f>
        <v/>
      </c>
      <c r="I39" s="51" t="str">
        <f>IFERROR(__xludf.DUMMYFUNCTION("""COMPUTED_VALUE"""),"")</f>
        <v/>
      </c>
      <c r="J39" s="53">
        <f>IFERROR(__xludf.DUMMYFUNCTION("""COMPUTED_VALUE"""),0.0)</f>
        <v>0</v>
      </c>
      <c r="K39" s="54">
        <f>IFERROR(__xludf.DUMMYFUNCTION("""COMPUTED_VALUE"""),0.0)</f>
        <v>0</v>
      </c>
    </row>
    <row r="40">
      <c r="C40" s="55">
        <f>IFERROR(__xludf.DUMMYFUNCTION("""COMPUTED_VALUE"""),34.0)</f>
        <v>34</v>
      </c>
      <c r="D40" s="55">
        <f>IFERROR(__xludf.DUMMYFUNCTION("""COMPUTED_VALUE"""),66.0)</f>
        <v>66</v>
      </c>
      <c r="E40" s="56" t="str">
        <f>IFERROR(__xludf.DUMMYFUNCTION("""COMPUTED_VALUE"""),"Juanan Jorques")</f>
        <v>Juanan Jorques</v>
      </c>
      <c r="F40" s="56" t="str">
        <f>IFERROR(__xludf.DUMMYFUNCTION("""COMPUTED_VALUE"""),"Spain")</f>
        <v>Spain</v>
      </c>
      <c r="G40" s="56" t="str">
        <f>IFERROR(__xludf.DUMMYFUNCTION("""COMPUTED_VALUE"""),"BMW E46")</f>
        <v>BMW E46</v>
      </c>
      <c r="H40" s="56">
        <f>IFERROR(__xludf.DUMMYFUNCTION("""COMPUTED_VALUE"""),90.0)</f>
        <v>90</v>
      </c>
      <c r="I40" s="56">
        <f>IFERROR(__xludf.DUMMYFUNCTION("""COMPUTED_VALUE"""),87.0)</f>
        <v>87</v>
      </c>
      <c r="J40" s="58">
        <f>IFERROR(__xludf.DUMMYFUNCTION("""COMPUTED_VALUE"""),90.0087)</f>
        <v>90.0087</v>
      </c>
      <c r="K40" s="59">
        <f>IFERROR(__xludf.DUMMYFUNCTION("""COMPUTED_VALUE"""),87.0)</f>
        <v>87</v>
      </c>
    </row>
    <row r="41">
      <c r="C41" s="60">
        <f>IFERROR(__xludf.DUMMYFUNCTION("""COMPUTED_VALUE"""),35.0)</f>
        <v>35</v>
      </c>
      <c r="D41" s="60">
        <f>IFERROR(__xludf.DUMMYFUNCTION("""COMPUTED_VALUE"""),989.0)</f>
        <v>989</v>
      </c>
      <c r="E41" s="62" t="str">
        <f>IFERROR(__xludf.DUMMYFUNCTION("""COMPUTED_VALUE"""),"Rytis Klimašauskas")</f>
        <v>Rytis Klimašauskas</v>
      </c>
      <c r="F41" s="62" t="str">
        <f>IFERROR(__xludf.DUMMYFUNCTION("""COMPUTED_VALUE"""),"Lithuania")</f>
        <v>Lithuania</v>
      </c>
      <c r="G41" s="62" t="str">
        <f>IFERROR(__xludf.DUMMYFUNCTION("""COMPUTED_VALUE"""),"BMW E36")</f>
        <v>BMW E36</v>
      </c>
      <c r="H41" s="62">
        <f>IFERROR(__xludf.DUMMYFUNCTION("""COMPUTED_VALUE"""),0.0)</f>
        <v>0</v>
      </c>
      <c r="I41" s="62">
        <f>IFERROR(__xludf.DUMMYFUNCTION("""COMPUTED_VALUE"""),60.0)</f>
        <v>60</v>
      </c>
      <c r="J41" s="65">
        <f>IFERROR(__xludf.DUMMYFUNCTION("""COMPUTED_VALUE"""),60.0)</f>
        <v>60</v>
      </c>
      <c r="K41" s="66">
        <f>IFERROR(__xludf.DUMMYFUNCTION("""COMPUTED_VALUE"""),0.0)</f>
        <v>0</v>
      </c>
    </row>
    <row r="42">
      <c r="C42" s="55">
        <f>IFERROR(__xludf.DUMMYFUNCTION("""COMPUTED_VALUE"""),36.0)</f>
        <v>36</v>
      </c>
      <c r="D42" s="55"/>
      <c r="E42" s="56" t="str">
        <f>IFERROR(__xludf.DUMMYFUNCTION("""COMPUTED_VALUE"""),"")</f>
        <v/>
      </c>
      <c r="F42" s="56" t="str">
        <f>IFERROR(__xludf.DUMMYFUNCTION("""COMPUTED_VALUE"""),"")</f>
        <v/>
      </c>
      <c r="G42" s="56" t="str">
        <f>IFERROR(__xludf.DUMMYFUNCTION("""COMPUTED_VALUE"""),"")</f>
        <v/>
      </c>
      <c r="H42" s="56" t="str">
        <f>IFERROR(__xludf.DUMMYFUNCTION("""COMPUTED_VALUE"""),"")</f>
        <v/>
      </c>
      <c r="I42" s="56" t="str">
        <f>IFERROR(__xludf.DUMMYFUNCTION("""COMPUTED_VALUE"""),"")</f>
        <v/>
      </c>
      <c r="J42" s="58">
        <f>IFERROR(__xludf.DUMMYFUNCTION("""COMPUTED_VALUE"""),0.0)</f>
        <v>0</v>
      </c>
      <c r="K42" s="59">
        <f>IFERROR(__xludf.DUMMYFUNCTION("""COMPUTED_VALUE"""),0.0)</f>
        <v>0</v>
      </c>
    </row>
    <row r="43">
      <c r="C43" s="60">
        <f>IFERROR(__xludf.DUMMYFUNCTION("""COMPUTED_VALUE"""),37.0)</f>
        <v>37</v>
      </c>
      <c r="D43" s="60">
        <f>IFERROR(__xludf.DUMMYFUNCTION("""COMPUTED_VALUE"""),78.0)</f>
        <v>78</v>
      </c>
      <c r="E43" s="62" t="str">
        <f>IFERROR(__xludf.DUMMYFUNCTION("""COMPUTED_VALUE"""),"William Diaz-Santiago")</f>
        <v>William Diaz-Santiago</v>
      </c>
      <c r="F43" s="62" t="str">
        <f>IFERROR(__xludf.DUMMYFUNCTION("""COMPUTED_VALUE"""),"United States")</f>
        <v>United States</v>
      </c>
      <c r="G43" s="62" t="str">
        <f>IFERROR(__xludf.DUMMYFUNCTION("""COMPUTED_VALUE"""),"BMW E46")</f>
        <v>BMW E46</v>
      </c>
      <c r="H43" s="62">
        <f>IFERROR(__xludf.DUMMYFUNCTION("""COMPUTED_VALUE"""),0.0)</f>
        <v>0</v>
      </c>
      <c r="I43" s="62">
        <f>IFERROR(__xludf.DUMMYFUNCTION("""COMPUTED_VALUE"""),74.0)</f>
        <v>74</v>
      </c>
      <c r="J43" s="65">
        <f>IFERROR(__xludf.DUMMYFUNCTION("""COMPUTED_VALUE"""),74.0)</f>
        <v>74</v>
      </c>
      <c r="K43" s="66">
        <f>IFERROR(__xludf.DUMMYFUNCTION("""COMPUTED_VALUE"""),0.0)</f>
        <v>0</v>
      </c>
    </row>
    <row r="44">
      <c r="C44" s="55">
        <f>IFERROR(__xludf.DUMMYFUNCTION("""COMPUTED_VALUE"""),38.0)</f>
        <v>38</v>
      </c>
      <c r="D44" s="55">
        <f>IFERROR(__xludf.DUMMYFUNCTION("""COMPUTED_VALUE"""),414.0)</f>
        <v>414</v>
      </c>
      <c r="E44" s="56" t="str">
        <f>IFERROR(__xludf.DUMMYFUNCTION("""COMPUTED_VALUE"""),"Tytus Rosiński")</f>
        <v>Tytus Rosiński</v>
      </c>
      <c r="F44" s="56" t="str">
        <f>IFERROR(__xludf.DUMMYFUNCTION("""COMPUTED_VALUE"""),"Poland")</f>
        <v>Poland</v>
      </c>
      <c r="G44" s="56" t="str">
        <f>IFERROR(__xludf.DUMMYFUNCTION("""COMPUTED_VALUE"""),"BMW E36")</f>
        <v>BMW E36</v>
      </c>
      <c r="H44" s="56">
        <f>IFERROR(__xludf.DUMMYFUNCTION("""COMPUTED_VALUE"""),85.0)</f>
        <v>85</v>
      </c>
      <c r="I44" s="56">
        <f>IFERROR(__xludf.DUMMYFUNCTION("""COMPUTED_VALUE"""),85.0)</f>
        <v>85</v>
      </c>
      <c r="J44" s="58">
        <f>IFERROR(__xludf.DUMMYFUNCTION("""COMPUTED_VALUE"""),85.0085)</f>
        <v>85.0085</v>
      </c>
      <c r="K44" s="59">
        <f>IFERROR(__xludf.DUMMYFUNCTION("""COMPUTED_VALUE"""),85.0)</f>
        <v>85</v>
      </c>
    </row>
    <row r="45">
      <c r="C45" s="60">
        <f>IFERROR(__xludf.DUMMYFUNCTION("""COMPUTED_VALUE"""),39.0)</f>
        <v>39</v>
      </c>
      <c r="D45" s="60">
        <f>IFERROR(__xludf.DUMMYFUNCTION("""COMPUTED_VALUE"""),99.0)</f>
        <v>99</v>
      </c>
      <c r="E45" s="62" t="str">
        <f>IFERROR(__xludf.DUMMYFUNCTION("""COMPUTED_VALUE"""),"Oihan Polo")</f>
        <v>Oihan Polo</v>
      </c>
      <c r="F45" s="62" t="str">
        <f>IFERROR(__xludf.DUMMYFUNCTION("""COMPUTED_VALUE"""),"Spain")</f>
        <v>Spain</v>
      </c>
      <c r="G45" s="62" t="str">
        <f>IFERROR(__xludf.DUMMYFUNCTION("""COMPUTED_VALUE"""),"BMW E36")</f>
        <v>BMW E36</v>
      </c>
      <c r="H45" s="62">
        <f>IFERROR(__xludf.DUMMYFUNCTION("""COMPUTED_VALUE"""),80.0)</f>
        <v>80</v>
      </c>
      <c r="I45" s="62">
        <f>IFERROR(__xludf.DUMMYFUNCTION("""COMPUTED_VALUE"""),71.0)</f>
        <v>71</v>
      </c>
      <c r="J45" s="65">
        <f>IFERROR(__xludf.DUMMYFUNCTION("""COMPUTED_VALUE"""),80.0071)</f>
        <v>80.0071</v>
      </c>
      <c r="K45" s="66">
        <f>IFERROR(__xludf.DUMMYFUNCTION("""COMPUTED_VALUE"""),71.0)</f>
        <v>71</v>
      </c>
    </row>
    <row r="46">
      <c r="B46" s="73"/>
      <c r="C46" s="55">
        <f>IFERROR(__xludf.DUMMYFUNCTION("""COMPUTED_VALUE"""),40.0)</f>
        <v>40</v>
      </c>
      <c r="D46" s="55">
        <f>IFERROR(__xludf.DUMMYFUNCTION("""COMPUTED_VALUE"""),895.0)</f>
        <v>895</v>
      </c>
      <c r="E46" s="56" t="str">
        <f>IFERROR(__xludf.DUMMYFUNCTION("""COMPUTED_VALUE"""),"Siim Voort")</f>
        <v>Siim Voort</v>
      </c>
      <c r="F46" s="56" t="str">
        <f>IFERROR(__xludf.DUMMYFUNCTION("""COMPUTED_VALUE"""),"Estonia")</f>
        <v>Estonia</v>
      </c>
      <c r="G46" s="56" t="str">
        <f>IFERROR(__xludf.DUMMYFUNCTION("""COMPUTED_VALUE"""),"BMW E36")</f>
        <v>BMW E36</v>
      </c>
      <c r="H46" s="56">
        <f>IFERROR(__xludf.DUMMYFUNCTION("""COMPUTED_VALUE"""),94.0)</f>
        <v>94</v>
      </c>
      <c r="I46" s="56">
        <f>IFERROR(__xludf.DUMMYFUNCTION("""COMPUTED_VALUE"""),85.0)</f>
        <v>85</v>
      </c>
      <c r="J46" s="58">
        <f>IFERROR(__xludf.DUMMYFUNCTION("""COMPUTED_VALUE"""),94.0085)</f>
        <v>94.0085</v>
      </c>
      <c r="K46" s="59">
        <f>IFERROR(__xludf.DUMMYFUNCTION("""COMPUTED_VALUE"""),85.0)</f>
        <v>85</v>
      </c>
    </row>
    <row r="47">
      <c r="B47" s="74" t="str">
        <f>IFERROR(__xludf.DUMMYFUNCTION("""COMPUTED_VALUE"""),"F")</f>
        <v>F</v>
      </c>
      <c r="C47" s="75">
        <f>IFERROR(__xludf.DUMMYFUNCTION("""COMPUTED_VALUE"""),41.0)</f>
        <v>41</v>
      </c>
      <c r="D47" s="75">
        <f>IFERROR(__xludf.DUMMYFUNCTION("""COMPUTED_VALUE"""),26.0)</f>
        <v>26</v>
      </c>
      <c r="E47" s="76" t="str">
        <f>IFERROR(__xludf.DUMMYFUNCTION("""COMPUTED_VALUE"""),"Iban Torreblanca")</f>
        <v>Iban Torreblanca</v>
      </c>
      <c r="F47" s="76" t="str">
        <f>IFERROR(__xludf.DUMMYFUNCTION("""COMPUTED_VALUE"""),"Spain")</f>
        <v>Spain</v>
      </c>
      <c r="G47" s="76" t="str">
        <f>IFERROR(__xludf.DUMMYFUNCTION("""COMPUTED_VALUE"""),"BMW E36")</f>
        <v>BMW E36</v>
      </c>
      <c r="H47" s="76">
        <f>IFERROR(__xludf.DUMMYFUNCTION("""COMPUTED_VALUE"""),92.0)</f>
        <v>92</v>
      </c>
      <c r="I47" s="76">
        <f>IFERROR(__xludf.DUMMYFUNCTION("""COMPUTED_VALUE"""),90.0)</f>
        <v>90</v>
      </c>
      <c r="J47" s="79">
        <f>IFERROR(__xludf.DUMMYFUNCTION("""COMPUTED_VALUE"""),92.009)</f>
        <v>92.009</v>
      </c>
      <c r="K47" s="80">
        <f>IFERROR(__xludf.DUMMYFUNCTION("""COMPUTED_VALUE"""),90.0)</f>
        <v>90</v>
      </c>
    </row>
    <row r="48">
      <c r="C48" s="55">
        <f>IFERROR(__xludf.DUMMYFUNCTION("""COMPUTED_VALUE"""),42.0)</f>
        <v>42</v>
      </c>
      <c r="D48" s="55">
        <f>IFERROR(__xludf.DUMMYFUNCTION("""COMPUTED_VALUE"""),401.0)</f>
        <v>401</v>
      </c>
      <c r="E48" s="56" t="str">
        <f>IFERROR(__xludf.DUMMYFUNCTION("""COMPUTED_VALUE"""),"Artur Kula")</f>
        <v>Artur Kula</v>
      </c>
      <c r="F48" s="56" t="str">
        <f>IFERROR(__xludf.DUMMYFUNCTION("""COMPUTED_VALUE"""),"Poland")</f>
        <v>Poland</v>
      </c>
      <c r="G48" s="56" t="str">
        <f>IFERROR(__xludf.DUMMYFUNCTION("""COMPUTED_VALUE"""),"BMW E36")</f>
        <v>BMW E36</v>
      </c>
      <c r="H48" s="56">
        <f>IFERROR(__xludf.DUMMYFUNCTION("""COMPUTED_VALUE"""),86.0)</f>
        <v>86</v>
      </c>
      <c r="I48" s="56">
        <f>IFERROR(__xludf.DUMMYFUNCTION("""COMPUTED_VALUE"""),87.0)</f>
        <v>87</v>
      </c>
      <c r="J48" s="58">
        <f>IFERROR(__xludf.DUMMYFUNCTION("""COMPUTED_VALUE"""),87.0086)</f>
        <v>87.0086</v>
      </c>
      <c r="K48" s="59">
        <f>IFERROR(__xludf.DUMMYFUNCTION("""COMPUTED_VALUE"""),86.0)</f>
        <v>86</v>
      </c>
    </row>
    <row r="49">
      <c r="C49" s="75">
        <f>IFERROR(__xludf.DUMMYFUNCTION("""COMPUTED_VALUE"""),43.0)</f>
        <v>43</v>
      </c>
      <c r="D49" s="75">
        <f>IFERROR(__xludf.DUMMYFUNCTION("""COMPUTED_VALUE"""),112.0)</f>
        <v>112</v>
      </c>
      <c r="E49" s="76" t="str">
        <f>IFERROR(__xludf.DUMMYFUNCTION("""COMPUTED_VALUE"""),"Dario Pavlin")</f>
        <v>Dario Pavlin</v>
      </c>
      <c r="F49" s="76" t="str">
        <f>IFERROR(__xludf.DUMMYFUNCTION("""COMPUTED_VALUE"""),"Croatia")</f>
        <v>Croatia</v>
      </c>
      <c r="G49" s="76" t="str">
        <f>IFERROR(__xludf.DUMMYFUNCTION("""COMPUTED_VALUE"""),"BMW E46")</f>
        <v>BMW E46</v>
      </c>
      <c r="H49" s="76">
        <f>IFERROR(__xludf.DUMMYFUNCTION("""COMPUTED_VALUE"""),0.0)</f>
        <v>0</v>
      </c>
      <c r="I49" s="76">
        <f>IFERROR(__xludf.DUMMYFUNCTION("""COMPUTED_VALUE"""),0.0)</f>
        <v>0</v>
      </c>
      <c r="J49" s="79">
        <f>IFERROR(__xludf.DUMMYFUNCTION("""COMPUTED_VALUE"""),0.0)</f>
        <v>0</v>
      </c>
      <c r="K49" s="80">
        <f>IFERROR(__xludf.DUMMYFUNCTION("""COMPUTED_VALUE"""),0.0)</f>
        <v>0</v>
      </c>
    </row>
    <row r="50">
      <c r="C50" s="55">
        <f>IFERROR(__xludf.DUMMYFUNCTION("""COMPUTED_VALUE"""),44.0)</f>
        <v>44</v>
      </c>
      <c r="D50" s="55">
        <f>IFERROR(__xludf.DUMMYFUNCTION("""COMPUTED_VALUE"""),111.0)</f>
        <v>111</v>
      </c>
      <c r="E50" s="56" t="str">
        <f>IFERROR(__xludf.DUMMYFUNCTION("""COMPUTED_VALUE"""),"Zydrunas Petkevicius")</f>
        <v>Zydrunas Petkevicius</v>
      </c>
      <c r="F50" s="56" t="str">
        <f>IFERROR(__xludf.DUMMYFUNCTION("""COMPUTED_VALUE"""),"Norway")</f>
        <v>Norway</v>
      </c>
      <c r="G50" s="56" t="str">
        <f>IFERROR(__xludf.DUMMYFUNCTION("""COMPUTED_VALUE"""),"BMW E36")</f>
        <v>BMW E36</v>
      </c>
      <c r="H50" s="56">
        <f>IFERROR(__xludf.DUMMYFUNCTION("""COMPUTED_VALUE"""),0.0)</f>
        <v>0</v>
      </c>
      <c r="I50" s="56">
        <f>IFERROR(__xludf.DUMMYFUNCTION("""COMPUTED_VALUE"""),82.0)</f>
        <v>82</v>
      </c>
      <c r="J50" s="58">
        <f>IFERROR(__xludf.DUMMYFUNCTION("""COMPUTED_VALUE"""),82.0)</f>
        <v>82</v>
      </c>
      <c r="K50" s="59">
        <f>IFERROR(__xludf.DUMMYFUNCTION("""COMPUTED_VALUE"""),0.0)</f>
        <v>0</v>
      </c>
    </row>
    <row r="51">
      <c r="C51" s="75">
        <f>IFERROR(__xludf.DUMMYFUNCTION("""COMPUTED_VALUE"""),45.0)</f>
        <v>45</v>
      </c>
      <c r="D51" s="75">
        <f>IFERROR(__xludf.DUMMYFUNCTION("""COMPUTED_VALUE"""),175.0)</f>
        <v>175</v>
      </c>
      <c r="E51" s="76" t="str">
        <f>IFERROR(__xludf.DUMMYFUNCTION("""COMPUTED_VALUE"""),"Tõnis Nael")</f>
        <v>Tõnis Nael</v>
      </c>
      <c r="F51" s="76" t="str">
        <f>IFERROR(__xludf.DUMMYFUNCTION("""COMPUTED_VALUE"""),"Estonia")</f>
        <v>Estonia</v>
      </c>
      <c r="G51" s="76" t="str">
        <f>IFERROR(__xludf.DUMMYFUNCTION("""COMPUTED_VALUE"""),"BMW E46")</f>
        <v>BMW E46</v>
      </c>
      <c r="H51" s="76">
        <f>IFERROR(__xludf.DUMMYFUNCTION("""COMPUTED_VALUE"""),42.0)</f>
        <v>42</v>
      </c>
      <c r="I51" s="76">
        <f>IFERROR(__xludf.DUMMYFUNCTION("""COMPUTED_VALUE"""),41.0)</f>
        <v>41</v>
      </c>
      <c r="J51" s="79">
        <f>IFERROR(__xludf.DUMMYFUNCTION("""COMPUTED_VALUE"""),42.0041)</f>
        <v>42.0041</v>
      </c>
      <c r="K51" s="80">
        <f>IFERROR(__xludf.DUMMYFUNCTION("""COMPUTED_VALUE"""),41.0)</f>
        <v>41</v>
      </c>
    </row>
    <row r="52">
      <c r="C52" s="55">
        <f>IFERROR(__xludf.DUMMYFUNCTION("""COMPUTED_VALUE"""),46.0)</f>
        <v>46</v>
      </c>
      <c r="D52" s="55">
        <f>IFERROR(__xludf.DUMMYFUNCTION("""COMPUTED_VALUE"""),65.0)</f>
        <v>65</v>
      </c>
      <c r="E52" s="56" t="str">
        <f>IFERROR(__xludf.DUMMYFUNCTION("""COMPUTED_VALUE"""),"Juuso Järvenpää")</f>
        <v>Juuso Järvenpää</v>
      </c>
      <c r="F52" s="56" t="str">
        <f>IFERROR(__xludf.DUMMYFUNCTION("""COMPUTED_VALUE"""),"Finland")</f>
        <v>Finland</v>
      </c>
      <c r="G52" s="56" t="str">
        <f>IFERROR(__xludf.DUMMYFUNCTION("""COMPUTED_VALUE"""),"BMW E36")</f>
        <v>BMW E36</v>
      </c>
      <c r="H52" s="56">
        <f>IFERROR(__xludf.DUMMYFUNCTION("""COMPUTED_VALUE"""),70.0)</f>
        <v>70</v>
      </c>
      <c r="I52" s="56">
        <f>IFERROR(__xludf.DUMMYFUNCTION("""COMPUTED_VALUE"""),82.0)</f>
        <v>82</v>
      </c>
      <c r="J52" s="58">
        <f>IFERROR(__xludf.DUMMYFUNCTION("""COMPUTED_VALUE"""),82.007)</f>
        <v>82.007</v>
      </c>
      <c r="K52" s="59">
        <f>IFERROR(__xludf.DUMMYFUNCTION("""COMPUTED_VALUE"""),70.0)</f>
        <v>70</v>
      </c>
    </row>
    <row r="53">
      <c r="C53" s="75">
        <f>IFERROR(__xludf.DUMMYFUNCTION("""COMPUTED_VALUE"""),47.0)</f>
        <v>47</v>
      </c>
      <c r="D53" s="75">
        <f>IFERROR(__xludf.DUMMYFUNCTION("""COMPUTED_VALUE"""),475.0)</f>
        <v>475</v>
      </c>
      <c r="E53" s="76" t="str">
        <f>IFERROR(__xludf.DUMMYFUNCTION("""COMPUTED_VALUE"""),"Kreznerics Dominik")</f>
        <v>Kreznerics Dominik</v>
      </c>
      <c r="F53" s="76" t="str">
        <f>IFERROR(__xludf.DUMMYFUNCTION("""COMPUTED_VALUE"""),"Hungary")</f>
        <v>Hungary</v>
      </c>
      <c r="G53" s="76" t="str">
        <f>IFERROR(__xludf.DUMMYFUNCTION("""COMPUTED_VALUE"""),"BMW E36")</f>
        <v>BMW E36</v>
      </c>
      <c r="H53" s="76">
        <f>IFERROR(__xludf.DUMMYFUNCTION("""COMPUTED_VALUE"""),64.0)</f>
        <v>64</v>
      </c>
      <c r="I53" s="76">
        <f>IFERROR(__xludf.DUMMYFUNCTION("""COMPUTED_VALUE"""),54.0)</f>
        <v>54</v>
      </c>
      <c r="J53" s="79">
        <f>IFERROR(__xludf.DUMMYFUNCTION("""COMPUTED_VALUE"""),64.0054)</f>
        <v>64.0054</v>
      </c>
      <c r="K53" s="80">
        <f>IFERROR(__xludf.DUMMYFUNCTION("""COMPUTED_VALUE"""),54.0)</f>
        <v>54</v>
      </c>
    </row>
    <row r="54">
      <c r="B54" s="73"/>
      <c r="C54" s="55">
        <f>IFERROR(__xludf.DUMMYFUNCTION("""COMPUTED_VALUE"""),48.0)</f>
        <v>48</v>
      </c>
      <c r="D54" s="55">
        <f>IFERROR(__xludf.DUMMYFUNCTION("""COMPUTED_VALUE"""),64.0)</f>
        <v>64</v>
      </c>
      <c r="E54" s="56" t="str">
        <f>IFERROR(__xludf.DUMMYFUNCTION("""COMPUTED_VALUE"""),"Maciej Flisiński")</f>
        <v>Maciej Flisiński</v>
      </c>
      <c r="F54" s="56" t="str">
        <f>IFERROR(__xludf.DUMMYFUNCTION("""COMPUTED_VALUE"""),"Poland")</f>
        <v>Poland</v>
      </c>
      <c r="G54" s="56" t="str">
        <f>IFERROR(__xludf.DUMMYFUNCTION("""COMPUTED_VALUE"""),"BMW E36")</f>
        <v>BMW E36</v>
      </c>
      <c r="H54" s="56">
        <f>IFERROR(__xludf.DUMMYFUNCTION("""COMPUTED_VALUE"""),45.0)</f>
        <v>45</v>
      </c>
      <c r="I54" s="56">
        <f>IFERROR(__xludf.DUMMYFUNCTION("""COMPUTED_VALUE"""),50.0)</f>
        <v>50</v>
      </c>
      <c r="J54" s="58">
        <f>IFERROR(__xludf.DUMMYFUNCTION("""COMPUTED_VALUE"""),50.0045)</f>
        <v>50.0045</v>
      </c>
      <c r="K54" s="59">
        <f>IFERROR(__xludf.DUMMYFUNCTION("""COMPUTED_VALUE"""),45.0)</f>
        <v>45</v>
      </c>
    </row>
    <row r="55">
      <c r="B55" s="91" t="str">
        <f>IFERROR(__xludf.DUMMYFUNCTION("""COMPUTED_VALUE"""),"G")</f>
        <v>G</v>
      </c>
      <c r="C55" s="60">
        <f>IFERROR(__xludf.DUMMYFUNCTION("""COMPUTED_VALUE"""),49.0)</f>
        <v>49</v>
      </c>
      <c r="D55" s="60">
        <f>IFERROR(__xludf.DUMMYFUNCTION("""COMPUTED_VALUE"""),13.0)</f>
        <v>13</v>
      </c>
      <c r="E55" s="62" t="str">
        <f>IFERROR(__xludf.DUMMYFUNCTION("""COMPUTED_VALUE"""),"Fredrik Blokhus")</f>
        <v>Fredrik Blokhus</v>
      </c>
      <c r="F55" s="62" t="str">
        <f>IFERROR(__xludf.DUMMYFUNCTION("""COMPUTED_VALUE"""),"Norway")</f>
        <v>Norway</v>
      </c>
      <c r="G55" s="62" t="str">
        <f>IFERROR(__xludf.DUMMYFUNCTION("""COMPUTED_VALUE"""),"BMW E36")</f>
        <v>BMW E36</v>
      </c>
      <c r="H55" s="62">
        <f>IFERROR(__xludf.DUMMYFUNCTION("""COMPUTED_VALUE"""),70.0)</f>
        <v>70</v>
      </c>
      <c r="I55" s="62">
        <f>IFERROR(__xludf.DUMMYFUNCTION("""COMPUTED_VALUE"""),80.0)</f>
        <v>80</v>
      </c>
      <c r="J55" s="65">
        <f>IFERROR(__xludf.DUMMYFUNCTION("""COMPUTED_VALUE"""),80.007)</f>
        <v>80.007</v>
      </c>
      <c r="K55" s="66">
        <f>IFERROR(__xludf.DUMMYFUNCTION("""COMPUTED_VALUE"""),70.0)</f>
        <v>70</v>
      </c>
    </row>
    <row r="56">
      <c r="C56" s="55">
        <f>IFERROR(__xludf.DUMMYFUNCTION("""COMPUTED_VALUE"""),50.0)</f>
        <v>50</v>
      </c>
      <c r="D56" s="55">
        <f>IFERROR(__xludf.DUMMYFUNCTION("""COMPUTED_VALUE"""),666.0)</f>
        <v>666</v>
      </c>
      <c r="E56" s="56" t="str">
        <f>IFERROR(__xludf.DUMMYFUNCTION("""COMPUTED_VALUE"""),"Ritums Jēkabsons")</f>
        <v>Ritums Jēkabsons</v>
      </c>
      <c r="F56" s="56" t="str">
        <f>IFERROR(__xludf.DUMMYFUNCTION("""COMPUTED_VALUE"""),"Latvia")</f>
        <v>Latvia</v>
      </c>
      <c r="G56" s="56" t="str">
        <f>IFERROR(__xludf.DUMMYFUNCTION("""COMPUTED_VALUE"""),"BMW E36")</f>
        <v>BMW E36</v>
      </c>
      <c r="H56" s="56">
        <f>IFERROR(__xludf.DUMMYFUNCTION("""COMPUTED_VALUE"""),81.0)</f>
        <v>81</v>
      </c>
      <c r="I56" s="56">
        <f>IFERROR(__xludf.DUMMYFUNCTION("""COMPUTED_VALUE"""),79.0)</f>
        <v>79</v>
      </c>
      <c r="J56" s="58">
        <f>IFERROR(__xludf.DUMMYFUNCTION("""COMPUTED_VALUE"""),81.0079)</f>
        <v>81.0079</v>
      </c>
      <c r="K56" s="59">
        <f>IFERROR(__xludf.DUMMYFUNCTION("""COMPUTED_VALUE"""),79.0)</f>
        <v>79</v>
      </c>
    </row>
    <row r="57">
      <c r="C57" s="60">
        <f>IFERROR(__xludf.DUMMYFUNCTION("""COMPUTED_VALUE"""),51.0)</f>
        <v>51</v>
      </c>
      <c r="D57" s="60">
        <f>IFERROR(__xludf.DUMMYFUNCTION("""COMPUTED_VALUE"""),4.0)</f>
        <v>4</v>
      </c>
      <c r="E57" s="62" t="str">
        <f>IFERROR(__xludf.DUMMYFUNCTION("""COMPUTED_VALUE"""),"Paweł Kałużka")</f>
        <v>Paweł Kałużka</v>
      </c>
      <c r="F57" s="62" t="str">
        <f>IFERROR(__xludf.DUMMYFUNCTION("""COMPUTED_VALUE"""),"Poland")</f>
        <v>Poland</v>
      </c>
      <c r="G57" s="62" t="str">
        <f>IFERROR(__xludf.DUMMYFUNCTION("""COMPUTED_VALUE"""),"BMW E36")</f>
        <v>BMW E36</v>
      </c>
      <c r="H57" s="62">
        <f>IFERROR(__xludf.DUMMYFUNCTION("""COMPUTED_VALUE"""),72.0)</f>
        <v>72</v>
      </c>
      <c r="I57" s="62">
        <f>IFERROR(__xludf.DUMMYFUNCTION("""COMPUTED_VALUE"""),71.0)</f>
        <v>71</v>
      </c>
      <c r="J57" s="65">
        <f>IFERROR(__xludf.DUMMYFUNCTION("""COMPUTED_VALUE"""),72.0071)</f>
        <v>72.0071</v>
      </c>
      <c r="K57" s="66">
        <f>IFERROR(__xludf.DUMMYFUNCTION("""COMPUTED_VALUE"""),71.0)</f>
        <v>71</v>
      </c>
    </row>
    <row r="58">
      <c r="C58" s="55">
        <f>IFERROR(__xludf.DUMMYFUNCTION("""COMPUTED_VALUE"""),52.0)</f>
        <v>52</v>
      </c>
      <c r="D58" s="55">
        <f>IFERROR(__xludf.DUMMYFUNCTION("""COMPUTED_VALUE"""),20.0)</f>
        <v>20</v>
      </c>
      <c r="E58" s="56" t="str">
        <f>IFERROR(__xludf.DUMMYFUNCTION("""COMPUTED_VALUE"""),"Henri Ristinen")</f>
        <v>Henri Ristinen</v>
      </c>
      <c r="F58" s="56" t="str">
        <f>IFERROR(__xludf.DUMMYFUNCTION("""COMPUTED_VALUE"""),"Finland")</f>
        <v>Finland</v>
      </c>
      <c r="G58" s="56" t="str">
        <f>IFERROR(__xludf.DUMMYFUNCTION("""COMPUTED_VALUE"""),"BMW E36")</f>
        <v>BMW E36</v>
      </c>
      <c r="H58" s="56">
        <f>IFERROR(__xludf.DUMMYFUNCTION("""COMPUTED_VALUE"""),0.0)</f>
        <v>0</v>
      </c>
      <c r="I58" s="56">
        <f>IFERROR(__xludf.DUMMYFUNCTION("""COMPUTED_VALUE"""),0.0)</f>
        <v>0</v>
      </c>
      <c r="J58" s="58">
        <f>IFERROR(__xludf.DUMMYFUNCTION("""COMPUTED_VALUE"""),0.0)</f>
        <v>0</v>
      </c>
      <c r="K58" s="59">
        <f>IFERROR(__xludf.DUMMYFUNCTION("""COMPUTED_VALUE"""),0.0)</f>
        <v>0</v>
      </c>
    </row>
    <row r="59">
      <c r="C59" s="60">
        <f>IFERROR(__xludf.DUMMYFUNCTION("""COMPUTED_VALUE"""),53.0)</f>
        <v>53</v>
      </c>
      <c r="D59" s="60">
        <f>IFERROR(__xludf.DUMMYFUNCTION("""COMPUTED_VALUE"""),215.0)</f>
        <v>215</v>
      </c>
      <c r="E59" s="62" t="str">
        <f>IFERROR(__xludf.DUMMYFUNCTION("""COMPUTED_VALUE"""),"Nauris Žmuida")</f>
        <v>Nauris Žmuida</v>
      </c>
      <c r="F59" s="62" t="str">
        <f>IFERROR(__xludf.DUMMYFUNCTION("""COMPUTED_VALUE"""),"Latvia")</f>
        <v>Latvia</v>
      </c>
      <c r="G59" s="62" t="str">
        <f>IFERROR(__xludf.DUMMYFUNCTION("""COMPUTED_VALUE"""),"BMW E46")</f>
        <v>BMW E46</v>
      </c>
      <c r="H59" s="62" t="str">
        <f>IFERROR(__xludf.DUMMYFUNCTION("""COMPUTED_VALUE"""),"")</f>
        <v/>
      </c>
      <c r="I59" s="62" t="str">
        <f>IFERROR(__xludf.DUMMYFUNCTION("""COMPUTED_VALUE"""),"")</f>
        <v/>
      </c>
      <c r="J59" s="65">
        <f>IFERROR(__xludf.DUMMYFUNCTION("""COMPUTED_VALUE"""),0.0)</f>
        <v>0</v>
      </c>
      <c r="K59" s="66">
        <f>IFERROR(__xludf.DUMMYFUNCTION("""COMPUTED_VALUE"""),0.0)</f>
        <v>0</v>
      </c>
    </row>
    <row r="60">
      <c r="C60" s="55">
        <f>IFERROR(__xludf.DUMMYFUNCTION("""COMPUTED_VALUE"""),54.0)</f>
        <v>54</v>
      </c>
      <c r="D60" s="55">
        <f>IFERROR(__xludf.DUMMYFUNCTION("""COMPUTED_VALUE"""),37.0)</f>
        <v>37</v>
      </c>
      <c r="E60" s="56" t="str">
        <f>IFERROR(__xludf.DUMMYFUNCTION("""COMPUTED_VALUE"""),"Markuss Milns")</f>
        <v>Markuss Milns</v>
      </c>
      <c r="F60" s="56" t="str">
        <f>IFERROR(__xludf.DUMMYFUNCTION("""COMPUTED_VALUE"""),"Latvia")</f>
        <v>Latvia</v>
      </c>
      <c r="G60" s="56" t="str">
        <f>IFERROR(__xludf.DUMMYFUNCTION("""COMPUTED_VALUE"""),"BMW E36")</f>
        <v>BMW E36</v>
      </c>
      <c r="H60" s="56">
        <f>IFERROR(__xludf.DUMMYFUNCTION("""COMPUTED_VALUE"""),61.0)</f>
        <v>61</v>
      </c>
      <c r="I60" s="56">
        <f>IFERROR(__xludf.DUMMYFUNCTION("""COMPUTED_VALUE"""),0.0)</f>
        <v>0</v>
      </c>
      <c r="J60" s="58">
        <f>IFERROR(__xludf.DUMMYFUNCTION("""COMPUTED_VALUE"""),61.0)</f>
        <v>61</v>
      </c>
      <c r="K60" s="59">
        <f>IFERROR(__xludf.DUMMYFUNCTION("""COMPUTED_VALUE"""),0.0)</f>
        <v>0</v>
      </c>
    </row>
    <row r="61">
      <c r="C61" s="60">
        <f>IFERROR(__xludf.DUMMYFUNCTION("""COMPUTED_VALUE"""),55.0)</f>
        <v>55</v>
      </c>
      <c r="D61" s="60">
        <f>IFERROR(__xludf.DUMMYFUNCTION("""COMPUTED_VALUE"""),444.0)</f>
        <v>444</v>
      </c>
      <c r="E61" s="62" t="str">
        <f>IFERROR(__xludf.DUMMYFUNCTION("""COMPUTED_VALUE"""),"Wojciech Denis")</f>
        <v>Wojciech Denis</v>
      </c>
      <c r="F61" s="62" t="str">
        <f>IFERROR(__xludf.DUMMYFUNCTION("""COMPUTED_VALUE"""),"Poland")</f>
        <v>Poland</v>
      </c>
      <c r="G61" s="62" t="str">
        <f>IFERROR(__xludf.DUMMYFUNCTION("""COMPUTED_VALUE"""),"BMW E36")</f>
        <v>BMW E36</v>
      </c>
      <c r="H61" s="62">
        <f>IFERROR(__xludf.DUMMYFUNCTION("""COMPUTED_VALUE"""),78.0)</f>
        <v>78</v>
      </c>
      <c r="I61" s="62">
        <f>IFERROR(__xludf.DUMMYFUNCTION("""COMPUTED_VALUE"""),80.0)</f>
        <v>80</v>
      </c>
      <c r="J61" s="65">
        <f>IFERROR(__xludf.DUMMYFUNCTION("""COMPUTED_VALUE"""),80.0078)</f>
        <v>80.0078</v>
      </c>
      <c r="K61" s="66">
        <f>IFERROR(__xludf.DUMMYFUNCTION("""COMPUTED_VALUE"""),78.0)</f>
        <v>78</v>
      </c>
    </row>
    <row r="62">
      <c r="B62" s="73"/>
      <c r="C62" s="55">
        <f>IFERROR(__xludf.DUMMYFUNCTION("""COMPUTED_VALUE"""),56.0)</f>
        <v>56</v>
      </c>
      <c r="D62" s="55">
        <f>IFERROR(__xludf.DUMMYFUNCTION("""COMPUTED_VALUE"""),211.0)</f>
        <v>211</v>
      </c>
      <c r="E62" s="56" t="str">
        <f>IFERROR(__xludf.DUMMYFUNCTION("""COMPUTED_VALUE"""),"David Laczko")</f>
        <v>David Laczko</v>
      </c>
      <c r="F62" s="56" t="str">
        <f>IFERROR(__xludf.DUMMYFUNCTION("""COMPUTED_VALUE"""),"Romania")</f>
        <v>Romania</v>
      </c>
      <c r="G62" s="56" t="str">
        <f>IFERROR(__xludf.DUMMYFUNCTION("""COMPUTED_VALUE"""),"BMW E46")</f>
        <v>BMW E46</v>
      </c>
      <c r="H62" s="56">
        <f>IFERROR(__xludf.DUMMYFUNCTION("""COMPUTED_VALUE"""),83.0)</f>
        <v>83</v>
      </c>
      <c r="I62" s="56">
        <f>IFERROR(__xludf.DUMMYFUNCTION("""COMPUTED_VALUE"""),91.0)</f>
        <v>91</v>
      </c>
      <c r="J62" s="58">
        <f>IFERROR(__xludf.DUMMYFUNCTION("""COMPUTED_VALUE"""),91.0083)</f>
        <v>91.0083</v>
      </c>
      <c r="K62" s="59">
        <f>IFERROR(__xludf.DUMMYFUNCTION("""COMPUTED_VALUE"""),83.0)</f>
        <v>83</v>
      </c>
    </row>
    <row r="63">
      <c r="B63" s="74" t="str">
        <f>IFERROR(__xludf.DUMMYFUNCTION("""COMPUTED_VALUE"""),"H")</f>
        <v>H</v>
      </c>
      <c r="C63" s="75">
        <f>IFERROR(__xludf.DUMMYFUNCTION("""COMPUTED_VALUE"""),57.0)</f>
        <v>57</v>
      </c>
      <c r="D63" s="75">
        <f>IFERROR(__xludf.DUMMYFUNCTION("""COMPUTED_VALUE"""),497.0)</f>
        <v>497</v>
      </c>
      <c r="E63" s="76" t="str">
        <f>IFERROR(__xludf.DUMMYFUNCTION("""COMPUTED_VALUE"""),"Mathe Szilveszter")</f>
        <v>Mathe Szilveszter</v>
      </c>
      <c r="F63" s="76" t="str">
        <f>IFERROR(__xludf.DUMMYFUNCTION("""COMPUTED_VALUE"""),"Hungary")</f>
        <v>Hungary</v>
      </c>
      <c r="G63" s="76" t="str">
        <f>IFERROR(__xludf.DUMMYFUNCTION("""COMPUTED_VALUE"""),"BMW E36")</f>
        <v>BMW E36</v>
      </c>
      <c r="H63" s="76">
        <f>IFERROR(__xludf.DUMMYFUNCTION("""COMPUTED_VALUE"""),0.0)</f>
        <v>0</v>
      </c>
      <c r="I63" s="76">
        <f>IFERROR(__xludf.DUMMYFUNCTION("""COMPUTED_VALUE"""),61.0)</f>
        <v>61</v>
      </c>
      <c r="J63" s="79">
        <f>IFERROR(__xludf.DUMMYFUNCTION("""COMPUTED_VALUE"""),61.0)</f>
        <v>61</v>
      </c>
      <c r="K63" s="80">
        <f>IFERROR(__xludf.DUMMYFUNCTION("""COMPUTED_VALUE"""),0.0)</f>
        <v>0</v>
      </c>
    </row>
    <row r="64">
      <c r="C64" s="55">
        <f>IFERROR(__xludf.DUMMYFUNCTION("""COMPUTED_VALUE"""),58.0)</f>
        <v>58</v>
      </c>
      <c r="D64" s="55">
        <f>IFERROR(__xludf.DUMMYFUNCTION("""COMPUTED_VALUE"""),8.0)</f>
        <v>8</v>
      </c>
      <c r="E64" s="56" t="str">
        <f>IFERROR(__xludf.DUMMYFUNCTION("""COMPUTED_VALUE"""),"Gundars Gūte")</f>
        <v>Gundars Gūte</v>
      </c>
      <c r="F64" s="56" t="str">
        <f>IFERROR(__xludf.DUMMYFUNCTION("""COMPUTED_VALUE"""),"Latvia")</f>
        <v>Latvia</v>
      </c>
      <c r="G64" s="56" t="str">
        <f>IFERROR(__xludf.DUMMYFUNCTION("""COMPUTED_VALUE"""),"BMW E46")</f>
        <v>BMW E46</v>
      </c>
      <c r="H64" s="56">
        <f>IFERROR(__xludf.DUMMYFUNCTION("""COMPUTED_VALUE"""),60.0)</f>
        <v>60</v>
      </c>
      <c r="I64" s="56">
        <f>IFERROR(__xludf.DUMMYFUNCTION("""COMPUTED_VALUE"""),54.0)</f>
        <v>54</v>
      </c>
      <c r="J64" s="58">
        <f>IFERROR(__xludf.DUMMYFUNCTION("""COMPUTED_VALUE"""),60.0054)</f>
        <v>60.0054</v>
      </c>
      <c r="K64" s="59">
        <f>IFERROR(__xludf.DUMMYFUNCTION("""COMPUTED_VALUE"""),54.0)</f>
        <v>54</v>
      </c>
    </row>
    <row r="65">
      <c r="C65" s="75">
        <f>IFERROR(__xludf.DUMMYFUNCTION("""COMPUTED_VALUE"""),59.0)</f>
        <v>59</v>
      </c>
      <c r="D65" s="75">
        <f>IFERROR(__xludf.DUMMYFUNCTION("""COMPUTED_VALUE"""),369.0)</f>
        <v>369</v>
      </c>
      <c r="E65" s="76" t="str">
        <f>IFERROR(__xludf.DUMMYFUNCTION("""COMPUTED_VALUE"""),"Aivis Bambāns")</f>
        <v>Aivis Bambāns</v>
      </c>
      <c r="F65" s="76" t="str">
        <f>IFERROR(__xludf.DUMMYFUNCTION("""COMPUTED_VALUE"""),"Latvia")</f>
        <v>Latvia</v>
      </c>
      <c r="G65" s="76" t="str">
        <f>IFERROR(__xludf.DUMMYFUNCTION("""COMPUTED_VALUE"""),"BMW E46")</f>
        <v>BMW E46</v>
      </c>
      <c r="H65" s="76">
        <f>IFERROR(__xludf.DUMMYFUNCTION("""COMPUTED_VALUE"""),55.0)</f>
        <v>55</v>
      </c>
      <c r="I65" s="76">
        <f>IFERROR(__xludf.DUMMYFUNCTION("""COMPUTED_VALUE"""),54.0)</f>
        <v>54</v>
      </c>
      <c r="J65" s="79">
        <f>IFERROR(__xludf.DUMMYFUNCTION("""COMPUTED_VALUE"""),55.0054)</f>
        <v>55.0054</v>
      </c>
      <c r="K65" s="80">
        <f>IFERROR(__xludf.DUMMYFUNCTION("""COMPUTED_VALUE"""),54.0)</f>
        <v>54</v>
      </c>
    </row>
    <row r="66">
      <c r="C66" s="55">
        <f>IFERROR(__xludf.DUMMYFUNCTION("""COMPUTED_VALUE"""),60.0)</f>
        <v>60</v>
      </c>
      <c r="D66" s="55">
        <f>IFERROR(__xludf.DUMMYFUNCTION("""COMPUTED_VALUE"""),336.0)</f>
        <v>336</v>
      </c>
      <c r="E66" s="56" t="str">
        <f>IFERROR(__xludf.DUMMYFUNCTION("""COMPUTED_VALUE"""),"Darius Ostreika")</f>
        <v>Darius Ostreika</v>
      </c>
      <c r="F66" s="56" t="str">
        <f>IFERROR(__xludf.DUMMYFUNCTION("""COMPUTED_VALUE"""),"Lithuania")</f>
        <v>Lithuania</v>
      </c>
      <c r="G66" s="56" t="str">
        <f>IFERROR(__xludf.DUMMYFUNCTION("""COMPUTED_VALUE"""),"BMW E36")</f>
        <v>BMW E36</v>
      </c>
      <c r="H66" s="56">
        <f>IFERROR(__xludf.DUMMYFUNCTION("""COMPUTED_VALUE"""),80.0)</f>
        <v>80</v>
      </c>
      <c r="I66" s="56">
        <f>IFERROR(__xludf.DUMMYFUNCTION("""COMPUTED_VALUE"""),88.0)</f>
        <v>88</v>
      </c>
      <c r="J66" s="58">
        <f>IFERROR(__xludf.DUMMYFUNCTION("""COMPUTED_VALUE"""),88.008)</f>
        <v>88.008</v>
      </c>
      <c r="K66" s="59">
        <f>IFERROR(__xludf.DUMMYFUNCTION("""COMPUTED_VALUE"""),80.0)</f>
        <v>80</v>
      </c>
    </row>
    <row r="67">
      <c r="C67" s="75">
        <f>IFERROR(__xludf.DUMMYFUNCTION("""COMPUTED_VALUE"""),61.0)</f>
        <v>61</v>
      </c>
      <c r="D67" s="75">
        <f>IFERROR(__xludf.DUMMYFUNCTION("""COMPUTED_VALUE"""),41.0)</f>
        <v>41</v>
      </c>
      <c r="E67" s="76" t="str">
        <f>IFERROR(__xludf.DUMMYFUNCTION("""COMPUTED_VALUE"""),"Armands Vestmanis")</f>
        <v>Armands Vestmanis</v>
      </c>
      <c r="F67" s="76" t="str">
        <f>IFERROR(__xludf.DUMMYFUNCTION("""COMPUTED_VALUE"""),"Latvia")</f>
        <v>Latvia</v>
      </c>
      <c r="G67" s="76" t="str">
        <f>IFERROR(__xludf.DUMMYFUNCTION("""COMPUTED_VALUE"""),"BMW E36")</f>
        <v>BMW E36</v>
      </c>
      <c r="H67" s="76">
        <f>IFERROR(__xludf.DUMMYFUNCTION("""COMPUTED_VALUE"""),83.0)</f>
        <v>83</v>
      </c>
      <c r="I67" s="76">
        <f>IFERROR(__xludf.DUMMYFUNCTION("""COMPUTED_VALUE"""),88.0)</f>
        <v>88</v>
      </c>
      <c r="J67" s="79">
        <f>IFERROR(__xludf.DUMMYFUNCTION("""COMPUTED_VALUE"""),88.0083)</f>
        <v>88.0083</v>
      </c>
      <c r="K67" s="80">
        <f>IFERROR(__xludf.DUMMYFUNCTION("""COMPUTED_VALUE"""),83.0)</f>
        <v>83</v>
      </c>
    </row>
    <row r="68">
      <c r="C68" s="55">
        <f>IFERROR(__xludf.DUMMYFUNCTION("""COMPUTED_VALUE"""),62.0)</f>
        <v>62</v>
      </c>
      <c r="D68" s="55">
        <f>IFERROR(__xludf.DUMMYFUNCTION("""COMPUTED_VALUE"""),19.0)</f>
        <v>19</v>
      </c>
      <c r="E68" s="56" t="str">
        <f>IFERROR(__xludf.DUMMYFUNCTION("""COMPUTED_VALUE"""),"Miłosz Gawin")</f>
        <v>Miłosz Gawin</v>
      </c>
      <c r="F68" s="56" t="str">
        <f>IFERROR(__xludf.DUMMYFUNCTION("""COMPUTED_VALUE"""),"Poland")</f>
        <v>Poland</v>
      </c>
      <c r="G68" s="56" t="str">
        <f>IFERROR(__xludf.DUMMYFUNCTION("""COMPUTED_VALUE"""),"BMW E36")</f>
        <v>BMW E36</v>
      </c>
      <c r="H68" s="56">
        <f>IFERROR(__xludf.DUMMYFUNCTION("""COMPUTED_VALUE"""),67.0)</f>
        <v>67</v>
      </c>
      <c r="I68" s="56">
        <f>IFERROR(__xludf.DUMMYFUNCTION("""COMPUTED_VALUE"""),77.0)</f>
        <v>77</v>
      </c>
      <c r="J68" s="58">
        <f>IFERROR(__xludf.DUMMYFUNCTION("""COMPUTED_VALUE"""),77.0067)</f>
        <v>77.0067</v>
      </c>
      <c r="K68" s="59">
        <f>IFERROR(__xludf.DUMMYFUNCTION("""COMPUTED_VALUE"""),67.0)</f>
        <v>67</v>
      </c>
    </row>
    <row r="69">
      <c r="C69" s="75">
        <f>IFERROR(__xludf.DUMMYFUNCTION("""COMPUTED_VALUE"""),63.0)</f>
        <v>63</v>
      </c>
      <c r="D69" s="75"/>
      <c r="E69" s="76" t="str">
        <f>IFERROR(__xludf.DUMMYFUNCTION("""COMPUTED_VALUE"""),"")</f>
        <v/>
      </c>
      <c r="F69" s="76" t="str">
        <f>IFERROR(__xludf.DUMMYFUNCTION("""COMPUTED_VALUE"""),"")</f>
        <v/>
      </c>
      <c r="G69" s="76" t="str">
        <f>IFERROR(__xludf.DUMMYFUNCTION("""COMPUTED_VALUE"""),"")</f>
        <v/>
      </c>
      <c r="H69" s="76" t="str">
        <f>IFERROR(__xludf.DUMMYFUNCTION("""COMPUTED_VALUE"""),"")</f>
        <v/>
      </c>
      <c r="I69" s="76" t="str">
        <f>IFERROR(__xludf.DUMMYFUNCTION("""COMPUTED_VALUE"""),"")</f>
        <v/>
      </c>
      <c r="J69" s="79">
        <f>IFERROR(__xludf.DUMMYFUNCTION("""COMPUTED_VALUE"""),0.0)</f>
        <v>0</v>
      </c>
      <c r="K69" s="80">
        <f>IFERROR(__xludf.DUMMYFUNCTION("""COMPUTED_VALUE"""),0.0)</f>
        <v>0</v>
      </c>
    </row>
    <row r="70">
      <c r="B70" s="73"/>
      <c r="C70" s="55">
        <f>IFERROR(__xludf.DUMMYFUNCTION("""COMPUTED_VALUE"""),64.0)</f>
        <v>64</v>
      </c>
      <c r="D70" s="55">
        <f>IFERROR(__xludf.DUMMYFUNCTION("""COMPUTED_VALUE"""),507.0)</f>
        <v>507</v>
      </c>
      <c r="E70" s="56" t="str">
        <f>IFERROR(__xludf.DUMMYFUNCTION("""COMPUTED_VALUE"""),"Alexander skok Jensen")</f>
        <v>Alexander skok Jensen</v>
      </c>
      <c r="F70" s="56" t="str">
        <f>IFERROR(__xludf.DUMMYFUNCTION("""COMPUTED_VALUE"""),"Denmark")</f>
        <v>Denmark</v>
      </c>
      <c r="G70" s="56" t="str">
        <f>IFERROR(__xludf.DUMMYFUNCTION("""COMPUTED_VALUE"""),"BMW E36")</f>
        <v>BMW E36</v>
      </c>
      <c r="H70" s="56">
        <f>IFERROR(__xludf.DUMMYFUNCTION("""COMPUTED_VALUE"""),73.0)</f>
        <v>73</v>
      </c>
      <c r="I70" s="56">
        <f>IFERROR(__xludf.DUMMYFUNCTION("""COMPUTED_VALUE"""),67.0)</f>
        <v>67</v>
      </c>
      <c r="J70" s="58">
        <f>IFERROR(__xludf.DUMMYFUNCTION("""COMPUTED_VALUE"""),73.0067)</f>
        <v>73.0067</v>
      </c>
      <c r="K70" s="59">
        <f>IFERROR(__xludf.DUMMYFUNCTION("""COMPUTED_VALUE"""),67.0)</f>
        <v>67</v>
      </c>
    </row>
    <row r="71">
      <c r="B71" s="47" t="str">
        <f>IFERROR(__xludf.DUMMYFUNCTION("""COMPUTED_VALUE"""),"I")</f>
        <v>I</v>
      </c>
      <c r="C71" s="48">
        <f>IFERROR(__xludf.DUMMYFUNCTION("""COMPUTED_VALUE"""),65.0)</f>
        <v>65</v>
      </c>
      <c r="D71" s="48">
        <f>IFERROR(__xludf.DUMMYFUNCTION("""COMPUTED_VALUE"""),811.0)</f>
        <v>811</v>
      </c>
      <c r="E71" s="51" t="str">
        <f>IFERROR(__xludf.DUMMYFUNCTION("""COMPUTED_VALUE"""),"Marc O'Rourke")</f>
        <v>Marc O'Rourke</v>
      </c>
      <c r="F71" s="51" t="str">
        <f>IFERROR(__xludf.DUMMYFUNCTION("""COMPUTED_VALUE"""),"Ireland")</f>
        <v>Ireland</v>
      </c>
      <c r="G71" s="51" t="str">
        <f>IFERROR(__xludf.DUMMYFUNCTION("""COMPUTED_VALUE"""),"BMW E46")</f>
        <v>BMW E46</v>
      </c>
      <c r="H71" s="51" t="str">
        <f>IFERROR(__xludf.DUMMYFUNCTION("""COMPUTED_VALUE"""),"")</f>
        <v/>
      </c>
      <c r="I71" s="51" t="str">
        <f>IFERROR(__xludf.DUMMYFUNCTION("""COMPUTED_VALUE"""),"")</f>
        <v/>
      </c>
      <c r="J71" s="53">
        <f>IFERROR(__xludf.DUMMYFUNCTION("""COMPUTED_VALUE"""),0.0)</f>
        <v>0</v>
      </c>
      <c r="K71" s="54">
        <f>IFERROR(__xludf.DUMMYFUNCTION("""COMPUTED_VALUE"""),0.0)</f>
        <v>0</v>
      </c>
    </row>
    <row r="72">
      <c r="C72" s="55">
        <f>IFERROR(__xludf.DUMMYFUNCTION("""COMPUTED_VALUE"""),66.0)</f>
        <v>66</v>
      </c>
      <c r="D72" s="55">
        <f>IFERROR(__xludf.DUMMYFUNCTION("""COMPUTED_VALUE"""),101.0)</f>
        <v>101</v>
      </c>
      <c r="E72" s="56" t="str">
        <f>IFERROR(__xludf.DUMMYFUNCTION("""COMPUTED_VALUE"""),"Danils Dolganovs")</f>
        <v>Danils Dolganovs</v>
      </c>
      <c r="F72" s="56" t="str">
        <f>IFERROR(__xludf.DUMMYFUNCTION("""COMPUTED_VALUE"""),"Latvia")</f>
        <v>Latvia</v>
      </c>
      <c r="G72" s="56" t="str">
        <f>IFERROR(__xludf.DUMMYFUNCTION("""COMPUTED_VALUE"""),"BMW E36")</f>
        <v>BMW E36</v>
      </c>
      <c r="H72" s="56">
        <f>IFERROR(__xludf.DUMMYFUNCTION("""COMPUTED_VALUE"""),0.0)</f>
        <v>0</v>
      </c>
      <c r="I72" s="56">
        <f>IFERROR(__xludf.DUMMYFUNCTION("""COMPUTED_VALUE"""),0.0)</f>
        <v>0</v>
      </c>
      <c r="J72" s="58">
        <f>IFERROR(__xludf.DUMMYFUNCTION("""COMPUTED_VALUE"""),0.0)</f>
        <v>0</v>
      </c>
      <c r="K72" s="59">
        <f>IFERROR(__xludf.DUMMYFUNCTION("""COMPUTED_VALUE"""),0.0)</f>
        <v>0</v>
      </c>
    </row>
    <row r="73">
      <c r="C73" s="60">
        <f>IFERROR(__xludf.DUMMYFUNCTION("""COMPUTED_VALUE"""),67.0)</f>
        <v>67</v>
      </c>
      <c r="D73" s="60">
        <f>IFERROR(__xludf.DUMMYFUNCTION("""COMPUTED_VALUE"""),474.0)</f>
        <v>474</v>
      </c>
      <c r="E73" s="62" t="str">
        <f>IFERROR(__xludf.DUMMYFUNCTION("""COMPUTED_VALUE"""),"Balogh Ákos")</f>
        <v>Balogh Ákos</v>
      </c>
      <c r="F73" s="62" t="str">
        <f>IFERROR(__xludf.DUMMYFUNCTION("""COMPUTED_VALUE"""),"Hungary")</f>
        <v>Hungary</v>
      </c>
      <c r="G73" s="62" t="str">
        <f>IFERROR(__xludf.DUMMYFUNCTION("""COMPUTED_VALUE"""),"BMW E36")</f>
        <v>BMW E36</v>
      </c>
      <c r="H73" s="62" t="str">
        <f>IFERROR(__xludf.DUMMYFUNCTION("""COMPUTED_VALUE"""),"")</f>
        <v/>
      </c>
      <c r="I73" s="62" t="str">
        <f>IFERROR(__xludf.DUMMYFUNCTION("""COMPUTED_VALUE"""),"")</f>
        <v/>
      </c>
      <c r="J73" s="65">
        <f>IFERROR(__xludf.DUMMYFUNCTION("""COMPUTED_VALUE"""),0.0)</f>
        <v>0</v>
      </c>
      <c r="K73" s="66">
        <f>IFERROR(__xludf.DUMMYFUNCTION("""COMPUTED_VALUE"""),0.0)</f>
        <v>0</v>
      </c>
    </row>
    <row r="74">
      <c r="C74" s="55">
        <f>IFERROR(__xludf.DUMMYFUNCTION("""COMPUTED_VALUE"""),68.0)</f>
        <v>68</v>
      </c>
      <c r="D74" s="55">
        <f>IFERROR(__xludf.DUMMYFUNCTION("""COMPUTED_VALUE"""),225.0)</f>
        <v>225</v>
      </c>
      <c r="E74" s="56" t="str">
        <f>IFERROR(__xludf.DUMMYFUNCTION("""COMPUTED_VALUE"""),"Ilnur Sembayev")</f>
        <v>Ilnur Sembayev</v>
      </c>
      <c r="F74" s="56" t="str">
        <f>IFERROR(__xludf.DUMMYFUNCTION("""COMPUTED_VALUE"""),"Kazakhstan")</f>
        <v>Kazakhstan</v>
      </c>
      <c r="G74" s="56" t="str">
        <f>IFERROR(__xludf.DUMMYFUNCTION("""COMPUTED_VALUE"""),"BMW E36")</f>
        <v>BMW E36</v>
      </c>
      <c r="H74" s="56" t="str">
        <f>IFERROR(__xludf.DUMMYFUNCTION("""COMPUTED_VALUE"""),"")</f>
        <v/>
      </c>
      <c r="I74" s="56" t="str">
        <f>IFERROR(__xludf.DUMMYFUNCTION("""COMPUTED_VALUE"""),"")</f>
        <v/>
      </c>
      <c r="J74" s="58">
        <f>IFERROR(__xludf.DUMMYFUNCTION("""COMPUTED_VALUE"""),0.0)</f>
        <v>0</v>
      </c>
      <c r="K74" s="59">
        <f>IFERROR(__xludf.DUMMYFUNCTION("""COMPUTED_VALUE"""),0.0)</f>
        <v>0</v>
      </c>
    </row>
    <row r="75">
      <c r="C75" s="60">
        <f>IFERROR(__xludf.DUMMYFUNCTION("""COMPUTED_VALUE"""),69.0)</f>
        <v>69</v>
      </c>
      <c r="D75" s="60">
        <f>IFERROR(__xludf.DUMMYFUNCTION("""COMPUTED_VALUE"""),21.0)</f>
        <v>21</v>
      </c>
      <c r="E75" s="62" t="str">
        <f>IFERROR(__xludf.DUMMYFUNCTION("""COMPUTED_VALUE"""),"Cian O Hanlon")</f>
        <v>Cian O Hanlon</v>
      </c>
      <c r="F75" s="62" t="str">
        <f>IFERROR(__xludf.DUMMYFUNCTION("""COMPUTED_VALUE"""),"Ireland")</f>
        <v>Ireland</v>
      </c>
      <c r="G75" s="62" t="str">
        <f>IFERROR(__xludf.DUMMYFUNCTION("""COMPUTED_VALUE"""),"BMW E46")</f>
        <v>BMW E46</v>
      </c>
      <c r="H75" s="62" t="str">
        <f>IFERROR(__xludf.DUMMYFUNCTION("""COMPUTED_VALUE"""),"")</f>
        <v/>
      </c>
      <c r="I75" s="62" t="str">
        <f>IFERROR(__xludf.DUMMYFUNCTION("""COMPUTED_VALUE"""),"")</f>
        <v/>
      </c>
      <c r="J75" s="65">
        <f>IFERROR(__xludf.DUMMYFUNCTION("""COMPUTED_VALUE"""),0.0)</f>
        <v>0</v>
      </c>
      <c r="K75" s="66">
        <f>IFERROR(__xludf.DUMMYFUNCTION("""COMPUTED_VALUE"""),0.0)</f>
        <v>0</v>
      </c>
    </row>
    <row r="76">
      <c r="C76" s="55">
        <f>IFERROR(__xludf.DUMMYFUNCTION("""COMPUTED_VALUE"""),70.0)</f>
        <v>70</v>
      </c>
      <c r="D76" s="55">
        <f>IFERROR(__xludf.DUMMYFUNCTION("""COMPUTED_VALUE"""),118.0)</f>
        <v>118</v>
      </c>
      <c r="E76" s="56" t="str">
        <f>IFERROR(__xludf.DUMMYFUNCTION("""COMPUTED_VALUE"""),"Ernestas Jakubėlis")</f>
        <v>Ernestas Jakubėlis</v>
      </c>
      <c r="F76" s="56" t="str">
        <f>IFERROR(__xludf.DUMMYFUNCTION("""COMPUTED_VALUE"""),"Lithuania")</f>
        <v>Lithuania</v>
      </c>
      <c r="G76" s="56" t="str">
        <f>IFERROR(__xludf.DUMMYFUNCTION("""COMPUTED_VALUE"""),"BMW E36")</f>
        <v>BMW E36</v>
      </c>
      <c r="H76" s="56" t="str">
        <f>IFERROR(__xludf.DUMMYFUNCTION("""COMPUTED_VALUE"""),"")</f>
        <v/>
      </c>
      <c r="I76" s="56" t="str">
        <f>IFERROR(__xludf.DUMMYFUNCTION("""COMPUTED_VALUE"""),"")</f>
        <v/>
      </c>
      <c r="J76" s="58">
        <f>IFERROR(__xludf.DUMMYFUNCTION("""COMPUTED_VALUE"""),0.0)</f>
        <v>0</v>
      </c>
      <c r="K76" s="59">
        <f>IFERROR(__xludf.DUMMYFUNCTION("""COMPUTED_VALUE"""),0.0)</f>
        <v>0</v>
      </c>
    </row>
    <row r="77">
      <c r="C77" s="60">
        <f>IFERROR(__xludf.DUMMYFUNCTION("""COMPUTED_VALUE"""),71.0)</f>
        <v>71</v>
      </c>
      <c r="D77" s="60"/>
      <c r="E77" s="62" t="str">
        <f>IFERROR(__xludf.DUMMYFUNCTION("""COMPUTED_VALUE"""),"")</f>
        <v/>
      </c>
      <c r="F77" s="62" t="str">
        <f>IFERROR(__xludf.DUMMYFUNCTION("""COMPUTED_VALUE"""),"")</f>
        <v/>
      </c>
      <c r="G77" s="62" t="str">
        <f>IFERROR(__xludf.DUMMYFUNCTION("""COMPUTED_VALUE"""),"")</f>
        <v/>
      </c>
      <c r="H77" s="62" t="str">
        <f>IFERROR(__xludf.DUMMYFUNCTION("""COMPUTED_VALUE"""),"")</f>
        <v/>
      </c>
      <c r="I77" s="62" t="str">
        <f>IFERROR(__xludf.DUMMYFUNCTION("""COMPUTED_VALUE"""),"")</f>
        <v/>
      </c>
      <c r="J77" s="65">
        <f>IFERROR(__xludf.DUMMYFUNCTION("""COMPUTED_VALUE"""),0.0)</f>
        <v>0</v>
      </c>
      <c r="K77" s="66">
        <f>IFERROR(__xludf.DUMMYFUNCTION("""COMPUTED_VALUE"""),0.0)</f>
        <v>0</v>
      </c>
    </row>
    <row r="78">
      <c r="B78" s="73"/>
      <c r="C78" s="55">
        <f>IFERROR(__xludf.DUMMYFUNCTION("""COMPUTED_VALUE"""),72.0)</f>
        <v>72</v>
      </c>
      <c r="D78" s="55"/>
      <c r="E78" s="56" t="str">
        <f>IFERROR(__xludf.DUMMYFUNCTION("""COMPUTED_VALUE"""),"")</f>
        <v/>
      </c>
      <c r="F78" s="56" t="str">
        <f>IFERROR(__xludf.DUMMYFUNCTION("""COMPUTED_VALUE"""),"")</f>
        <v/>
      </c>
      <c r="G78" s="56" t="str">
        <f>IFERROR(__xludf.DUMMYFUNCTION("""COMPUTED_VALUE"""),"")</f>
        <v/>
      </c>
      <c r="H78" s="56" t="str">
        <f>IFERROR(__xludf.DUMMYFUNCTION("""COMPUTED_VALUE"""),"")</f>
        <v/>
      </c>
      <c r="I78" s="56" t="str">
        <f>IFERROR(__xludf.DUMMYFUNCTION("""COMPUTED_VALUE"""),"")</f>
        <v/>
      </c>
      <c r="J78" s="58">
        <f>IFERROR(__xludf.DUMMYFUNCTION("""COMPUTED_VALUE"""),0.0)</f>
        <v>0</v>
      </c>
      <c r="K78" s="59">
        <f>IFERROR(__xludf.DUMMYFUNCTION("""COMPUTED_VALUE"""),0.0)</f>
        <v>0</v>
      </c>
    </row>
    <row r="79">
      <c r="B79" s="74" t="str">
        <f>IFERROR(__xludf.DUMMYFUNCTION("""COMPUTED_VALUE"""),"J")</f>
        <v>J</v>
      </c>
      <c r="C79" s="75">
        <f>IFERROR(__xludf.DUMMYFUNCTION("""COMPUTED_VALUE"""),73.0)</f>
        <v>73</v>
      </c>
      <c r="D79" s="75"/>
      <c r="E79" s="76" t="str">
        <f>IFERROR(__xludf.DUMMYFUNCTION("""COMPUTED_VALUE"""),"")</f>
        <v/>
      </c>
      <c r="F79" s="76" t="str">
        <f>IFERROR(__xludf.DUMMYFUNCTION("""COMPUTED_VALUE"""),"")</f>
        <v/>
      </c>
      <c r="G79" s="76" t="str">
        <f>IFERROR(__xludf.DUMMYFUNCTION("""COMPUTED_VALUE"""),"")</f>
        <v/>
      </c>
      <c r="H79" s="76" t="str">
        <f>IFERROR(__xludf.DUMMYFUNCTION("""COMPUTED_VALUE"""),"")</f>
        <v/>
      </c>
      <c r="I79" s="76" t="str">
        <f>IFERROR(__xludf.DUMMYFUNCTION("""COMPUTED_VALUE"""),"")</f>
        <v/>
      </c>
      <c r="J79" s="79">
        <f>IFERROR(__xludf.DUMMYFUNCTION("""COMPUTED_VALUE"""),0.0)</f>
        <v>0</v>
      </c>
      <c r="K79" s="80">
        <f>IFERROR(__xludf.DUMMYFUNCTION("""COMPUTED_VALUE"""),0.0)</f>
        <v>0</v>
      </c>
    </row>
    <row r="80">
      <c r="C80" s="55">
        <f>IFERROR(__xludf.DUMMYFUNCTION("""COMPUTED_VALUE"""),74.0)</f>
        <v>74</v>
      </c>
      <c r="D80" s="55"/>
      <c r="E80" s="56" t="str">
        <f>IFERROR(__xludf.DUMMYFUNCTION("""COMPUTED_VALUE"""),"")</f>
        <v/>
      </c>
      <c r="F80" s="56" t="str">
        <f>IFERROR(__xludf.DUMMYFUNCTION("""COMPUTED_VALUE"""),"")</f>
        <v/>
      </c>
      <c r="G80" s="56" t="str">
        <f>IFERROR(__xludf.DUMMYFUNCTION("""COMPUTED_VALUE"""),"")</f>
        <v/>
      </c>
      <c r="H80" s="56" t="str">
        <f>IFERROR(__xludf.DUMMYFUNCTION("""COMPUTED_VALUE"""),"")</f>
        <v/>
      </c>
      <c r="I80" s="56" t="str">
        <f>IFERROR(__xludf.DUMMYFUNCTION("""COMPUTED_VALUE"""),"")</f>
        <v/>
      </c>
      <c r="J80" s="58">
        <f>IFERROR(__xludf.DUMMYFUNCTION("""COMPUTED_VALUE"""),0.0)</f>
        <v>0</v>
      </c>
      <c r="K80" s="59">
        <f>IFERROR(__xludf.DUMMYFUNCTION("""COMPUTED_VALUE"""),0.0)</f>
        <v>0</v>
      </c>
    </row>
    <row r="81">
      <c r="C81" s="75">
        <f>IFERROR(__xludf.DUMMYFUNCTION("""COMPUTED_VALUE"""),75.0)</f>
        <v>75</v>
      </c>
      <c r="D81" s="75"/>
      <c r="E81" s="76" t="str">
        <f>IFERROR(__xludf.DUMMYFUNCTION("""COMPUTED_VALUE"""),"")</f>
        <v/>
      </c>
      <c r="F81" s="76" t="str">
        <f>IFERROR(__xludf.DUMMYFUNCTION("""COMPUTED_VALUE"""),"")</f>
        <v/>
      </c>
      <c r="G81" s="76" t="str">
        <f>IFERROR(__xludf.DUMMYFUNCTION("""COMPUTED_VALUE"""),"")</f>
        <v/>
      </c>
      <c r="H81" s="104" t="str">
        <f>IFERROR(__xludf.DUMMYFUNCTION("""COMPUTED_VALUE"""),"")</f>
        <v/>
      </c>
      <c r="I81" s="104" t="str">
        <f>IFERROR(__xludf.DUMMYFUNCTION("""COMPUTED_VALUE"""),"")</f>
        <v/>
      </c>
      <c r="J81" s="79">
        <f>IFERROR(__xludf.DUMMYFUNCTION("""COMPUTED_VALUE"""),0.0)</f>
        <v>0</v>
      </c>
      <c r="K81" s="80">
        <f>IFERROR(__xludf.DUMMYFUNCTION("""COMPUTED_VALUE"""),0.0)</f>
        <v>0</v>
      </c>
    </row>
    <row r="82">
      <c r="C82" s="55">
        <f>IFERROR(__xludf.DUMMYFUNCTION("""COMPUTED_VALUE"""),76.0)</f>
        <v>76</v>
      </c>
      <c r="D82" s="55"/>
      <c r="E82" s="56" t="str">
        <f>IFERROR(__xludf.DUMMYFUNCTION("""COMPUTED_VALUE"""),"")</f>
        <v/>
      </c>
      <c r="F82" s="56" t="str">
        <f>IFERROR(__xludf.DUMMYFUNCTION("""COMPUTED_VALUE"""),"")</f>
        <v/>
      </c>
      <c r="G82" s="56" t="str">
        <f>IFERROR(__xludf.DUMMYFUNCTION("""COMPUTED_VALUE"""),"")</f>
        <v/>
      </c>
      <c r="H82" s="105" t="str">
        <f>IFERROR(__xludf.DUMMYFUNCTION("""COMPUTED_VALUE"""),"")</f>
        <v/>
      </c>
      <c r="I82" s="105" t="str">
        <f>IFERROR(__xludf.DUMMYFUNCTION("""COMPUTED_VALUE"""),"")</f>
        <v/>
      </c>
      <c r="J82" s="58">
        <f>IFERROR(__xludf.DUMMYFUNCTION("""COMPUTED_VALUE"""),0.0)</f>
        <v>0</v>
      </c>
      <c r="K82" s="59">
        <f>IFERROR(__xludf.DUMMYFUNCTION("""COMPUTED_VALUE"""),0.0)</f>
        <v>0</v>
      </c>
    </row>
    <row r="83">
      <c r="C83" s="75">
        <f>IFERROR(__xludf.DUMMYFUNCTION("""COMPUTED_VALUE"""),77.0)</f>
        <v>77</v>
      </c>
      <c r="D83" s="75"/>
      <c r="E83" s="76" t="str">
        <f>IFERROR(__xludf.DUMMYFUNCTION("""COMPUTED_VALUE"""),"")</f>
        <v/>
      </c>
      <c r="F83" s="76" t="str">
        <f>IFERROR(__xludf.DUMMYFUNCTION("""COMPUTED_VALUE"""),"")</f>
        <v/>
      </c>
      <c r="G83" s="76" t="str">
        <f>IFERROR(__xludf.DUMMYFUNCTION("""COMPUTED_VALUE"""),"")</f>
        <v/>
      </c>
      <c r="H83" s="104" t="str">
        <f>IFERROR(__xludf.DUMMYFUNCTION("""COMPUTED_VALUE"""),"")</f>
        <v/>
      </c>
      <c r="I83" s="104" t="str">
        <f>IFERROR(__xludf.DUMMYFUNCTION("""COMPUTED_VALUE"""),"")</f>
        <v/>
      </c>
      <c r="J83" s="79">
        <f>IFERROR(__xludf.DUMMYFUNCTION("""COMPUTED_VALUE"""),0.0)</f>
        <v>0</v>
      </c>
      <c r="K83" s="80">
        <f>IFERROR(__xludf.DUMMYFUNCTION("""COMPUTED_VALUE"""),0.0)</f>
        <v>0</v>
      </c>
    </row>
    <row r="84">
      <c r="C84" s="55">
        <f>IFERROR(__xludf.DUMMYFUNCTION("""COMPUTED_VALUE"""),78.0)</f>
        <v>78</v>
      </c>
      <c r="D84" s="55"/>
      <c r="E84" s="56" t="str">
        <f>IFERROR(__xludf.DUMMYFUNCTION("""COMPUTED_VALUE"""),"")</f>
        <v/>
      </c>
      <c r="F84" s="56" t="str">
        <f>IFERROR(__xludf.DUMMYFUNCTION("""COMPUTED_VALUE"""),"")</f>
        <v/>
      </c>
      <c r="G84" s="56" t="str">
        <f>IFERROR(__xludf.DUMMYFUNCTION("""COMPUTED_VALUE"""),"")</f>
        <v/>
      </c>
      <c r="H84" s="105" t="str">
        <f>IFERROR(__xludf.DUMMYFUNCTION("""COMPUTED_VALUE"""),"")</f>
        <v/>
      </c>
      <c r="I84" s="105" t="str">
        <f>IFERROR(__xludf.DUMMYFUNCTION("""COMPUTED_VALUE"""),"")</f>
        <v/>
      </c>
      <c r="J84" s="58">
        <f>IFERROR(__xludf.DUMMYFUNCTION("""COMPUTED_VALUE"""),0.0)</f>
        <v>0</v>
      </c>
      <c r="K84" s="59">
        <f>IFERROR(__xludf.DUMMYFUNCTION("""COMPUTED_VALUE"""),0.0)</f>
        <v>0</v>
      </c>
    </row>
    <row r="85">
      <c r="C85" s="75">
        <f>IFERROR(__xludf.DUMMYFUNCTION("""COMPUTED_VALUE"""),79.0)</f>
        <v>79</v>
      </c>
      <c r="D85" s="75"/>
      <c r="E85" s="76" t="str">
        <f>IFERROR(__xludf.DUMMYFUNCTION("""COMPUTED_VALUE"""),"")</f>
        <v/>
      </c>
      <c r="F85" s="76" t="str">
        <f>IFERROR(__xludf.DUMMYFUNCTION("""COMPUTED_VALUE"""),"")</f>
        <v/>
      </c>
      <c r="G85" s="76" t="str">
        <f>IFERROR(__xludf.DUMMYFUNCTION("""COMPUTED_VALUE"""),"")</f>
        <v/>
      </c>
      <c r="H85" s="104" t="str">
        <f>IFERROR(__xludf.DUMMYFUNCTION("""COMPUTED_VALUE"""),"")</f>
        <v/>
      </c>
      <c r="I85" s="104" t="str">
        <f>IFERROR(__xludf.DUMMYFUNCTION("""COMPUTED_VALUE"""),"")</f>
        <v/>
      </c>
      <c r="J85" s="79">
        <f>IFERROR(__xludf.DUMMYFUNCTION("""COMPUTED_VALUE"""),0.0)</f>
        <v>0</v>
      </c>
      <c r="K85" s="80">
        <f>IFERROR(__xludf.DUMMYFUNCTION("""COMPUTED_VALUE"""),0.0)</f>
        <v>0</v>
      </c>
    </row>
    <row r="86">
      <c r="B86" s="73"/>
      <c r="C86" s="55">
        <f>IFERROR(__xludf.DUMMYFUNCTION("""COMPUTED_VALUE"""),80.0)</f>
        <v>80</v>
      </c>
      <c r="D86" s="55"/>
      <c r="E86" s="56" t="str">
        <f>IFERROR(__xludf.DUMMYFUNCTION("""COMPUTED_VALUE"""),"")</f>
        <v/>
      </c>
      <c r="F86" s="56" t="str">
        <f>IFERROR(__xludf.DUMMYFUNCTION("""COMPUTED_VALUE"""),"")</f>
        <v/>
      </c>
      <c r="G86" s="56" t="str">
        <f>IFERROR(__xludf.DUMMYFUNCTION("""COMPUTED_VALUE"""),"")</f>
        <v/>
      </c>
      <c r="H86" s="105" t="str">
        <f>IFERROR(__xludf.DUMMYFUNCTION("""COMPUTED_VALUE"""),"")</f>
        <v/>
      </c>
      <c r="I86" s="105" t="str">
        <f>IFERROR(__xludf.DUMMYFUNCTION("""COMPUTED_VALUE"""),"")</f>
        <v/>
      </c>
      <c r="J86" s="58">
        <f>IFERROR(__xludf.DUMMYFUNCTION("""COMPUTED_VALUE"""),0.0)</f>
        <v>0</v>
      </c>
      <c r="K86" s="59">
        <f>IFERROR(__xludf.DUMMYFUNCTION("""COMPUTED_VALUE"""),0.0)</f>
        <v>0</v>
      </c>
    </row>
    <row r="87">
      <c r="B87" s="91" t="str">
        <f>IFERROR(__xludf.DUMMYFUNCTION("""COMPUTED_VALUE"""),"K")</f>
        <v>K</v>
      </c>
      <c r="C87" s="60">
        <f>IFERROR(__xludf.DUMMYFUNCTION("""COMPUTED_VALUE"""),81.0)</f>
        <v>81</v>
      </c>
      <c r="D87" s="60"/>
      <c r="E87" s="62" t="str">
        <f>IFERROR(__xludf.DUMMYFUNCTION("""COMPUTED_VALUE"""),"")</f>
        <v/>
      </c>
      <c r="F87" s="62" t="str">
        <f>IFERROR(__xludf.DUMMYFUNCTION("""COMPUTED_VALUE"""),"")</f>
        <v/>
      </c>
      <c r="G87" s="62" t="str">
        <f>IFERROR(__xludf.DUMMYFUNCTION("""COMPUTED_VALUE"""),"")</f>
        <v/>
      </c>
      <c r="H87" s="107" t="str">
        <f>IFERROR(__xludf.DUMMYFUNCTION("""COMPUTED_VALUE"""),"")</f>
        <v/>
      </c>
      <c r="I87" s="107" t="str">
        <f>IFERROR(__xludf.DUMMYFUNCTION("""COMPUTED_VALUE"""),"")</f>
        <v/>
      </c>
      <c r="J87" s="65">
        <f>IFERROR(__xludf.DUMMYFUNCTION("""COMPUTED_VALUE"""),0.0)</f>
        <v>0</v>
      </c>
      <c r="K87" s="66">
        <f>IFERROR(__xludf.DUMMYFUNCTION("""COMPUTED_VALUE"""),0.0)</f>
        <v>0</v>
      </c>
    </row>
    <row r="88">
      <c r="C88" s="55">
        <f>IFERROR(__xludf.DUMMYFUNCTION("""COMPUTED_VALUE"""),82.0)</f>
        <v>82</v>
      </c>
      <c r="D88" s="55"/>
      <c r="E88" s="56" t="str">
        <f>IFERROR(__xludf.DUMMYFUNCTION("""COMPUTED_VALUE"""),"")</f>
        <v/>
      </c>
      <c r="F88" s="56" t="str">
        <f>IFERROR(__xludf.DUMMYFUNCTION("""COMPUTED_VALUE"""),"")</f>
        <v/>
      </c>
      <c r="G88" s="56" t="str">
        <f>IFERROR(__xludf.DUMMYFUNCTION("""COMPUTED_VALUE"""),"")</f>
        <v/>
      </c>
      <c r="H88" s="105" t="str">
        <f>IFERROR(__xludf.DUMMYFUNCTION("""COMPUTED_VALUE"""),"")</f>
        <v/>
      </c>
      <c r="I88" s="105" t="str">
        <f>IFERROR(__xludf.DUMMYFUNCTION("""COMPUTED_VALUE"""),"")</f>
        <v/>
      </c>
      <c r="J88" s="58">
        <f>IFERROR(__xludf.DUMMYFUNCTION("""COMPUTED_VALUE"""),0.0)</f>
        <v>0</v>
      </c>
      <c r="K88" s="59">
        <f>IFERROR(__xludf.DUMMYFUNCTION("""COMPUTED_VALUE"""),0.0)</f>
        <v>0</v>
      </c>
    </row>
    <row r="89">
      <c r="C89" s="60">
        <f>IFERROR(__xludf.DUMMYFUNCTION("""COMPUTED_VALUE"""),83.0)</f>
        <v>83</v>
      </c>
      <c r="D89" s="60"/>
      <c r="E89" s="62" t="str">
        <f>IFERROR(__xludf.DUMMYFUNCTION("""COMPUTED_VALUE"""),"")</f>
        <v/>
      </c>
      <c r="F89" s="62" t="str">
        <f>IFERROR(__xludf.DUMMYFUNCTION("""COMPUTED_VALUE"""),"")</f>
        <v/>
      </c>
      <c r="G89" s="62" t="str">
        <f>IFERROR(__xludf.DUMMYFUNCTION("""COMPUTED_VALUE"""),"")</f>
        <v/>
      </c>
      <c r="H89" s="107" t="str">
        <f>IFERROR(__xludf.DUMMYFUNCTION("""COMPUTED_VALUE"""),"")</f>
        <v/>
      </c>
      <c r="I89" s="107" t="str">
        <f>IFERROR(__xludf.DUMMYFUNCTION("""COMPUTED_VALUE"""),"")</f>
        <v/>
      </c>
      <c r="J89" s="65">
        <f>IFERROR(__xludf.DUMMYFUNCTION("""COMPUTED_VALUE"""),0.0)</f>
        <v>0</v>
      </c>
      <c r="K89" s="66">
        <f>IFERROR(__xludf.DUMMYFUNCTION("""COMPUTED_VALUE"""),0.0)</f>
        <v>0</v>
      </c>
    </row>
    <row r="90">
      <c r="C90" s="55">
        <f>IFERROR(__xludf.DUMMYFUNCTION("""COMPUTED_VALUE"""),84.0)</f>
        <v>84</v>
      </c>
      <c r="D90" s="55"/>
      <c r="E90" s="56" t="str">
        <f>IFERROR(__xludf.DUMMYFUNCTION("""COMPUTED_VALUE"""),"")</f>
        <v/>
      </c>
      <c r="F90" s="56" t="str">
        <f>IFERROR(__xludf.DUMMYFUNCTION("""COMPUTED_VALUE"""),"")</f>
        <v/>
      </c>
      <c r="G90" s="56" t="str">
        <f>IFERROR(__xludf.DUMMYFUNCTION("""COMPUTED_VALUE"""),"")</f>
        <v/>
      </c>
      <c r="H90" s="105" t="str">
        <f>IFERROR(__xludf.DUMMYFUNCTION("""COMPUTED_VALUE"""),"")</f>
        <v/>
      </c>
      <c r="I90" s="105" t="str">
        <f>IFERROR(__xludf.DUMMYFUNCTION("""COMPUTED_VALUE"""),"")</f>
        <v/>
      </c>
      <c r="J90" s="58">
        <f>IFERROR(__xludf.DUMMYFUNCTION("""COMPUTED_VALUE"""),0.0)</f>
        <v>0</v>
      </c>
      <c r="K90" s="59">
        <f>IFERROR(__xludf.DUMMYFUNCTION("""COMPUTED_VALUE"""),0.0)</f>
        <v>0</v>
      </c>
    </row>
    <row r="91">
      <c r="C91" s="60">
        <f>IFERROR(__xludf.DUMMYFUNCTION("""COMPUTED_VALUE"""),85.0)</f>
        <v>85</v>
      </c>
      <c r="D91" s="60"/>
      <c r="E91" s="62" t="str">
        <f>IFERROR(__xludf.DUMMYFUNCTION("""COMPUTED_VALUE"""),"")</f>
        <v/>
      </c>
      <c r="F91" s="62" t="str">
        <f>IFERROR(__xludf.DUMMYFUNCTION("""COMPUTED_VALUE"""),"")</f>
        <v/>
      </c>
      <c r="G91" s="62" t="str">
        <f>IFERROR(__xludf.DUMMYFUNCTION("""COMPUTED_VALUE"""),"")</f>
        <v/>
      </c>
      <c r="H91" s="107" t="str">
        <f>IFERROR(__xludf.DUMMYFUNCTION("""COMPUTED_VALUE"""),"")</f>
        <v/>
      </c>
      <c r="I91" s="107" t="str">
        <f>IFERROR(__xludf.DUMMYFUNCTION("""COMPUTED_VALUE"""),"")</f>
        <v/>
      </c>
      <c r="J91" s="65">
        <f>IFERROR(__xludf.DUMMYFUNCTION("""COMPUTED_VALUE"""),0.0)</f>
        <v>0</v>
      </c>
      <c r="K91" s="66">
        <f>IFERROR(__xludf.DUMMYFUNCTION("""COMPUTED_VALUE"""),0.0)</f>
        <v>0</v>
      </c>
    </row>
    <row r="92">
      <c r="C92" s="55">
        <f>IFERROR(__xludf.DUMMYFUNCTION("""COMPUTED_VALUE"""),86.0)</f>
        <v>86</v>
      </c>
      <c r="D92" s="55"/>
      <c r="E92" s="56" t="str">
        <f>IFERROR(__xludf.DUMMYFUNCTION("""COMPUTED_VALUE"""),"")</f>
        <v/>
      </c>
      <c r="F92" s="56" t="str">
        <f>IFERROR(__xludf.DUMMYFUNCTION("""COMPUTED_VALUE"""),"")</f>
        <v/>
      </c>
      <c r="G92" s="56" t="str">
        <f>IFERROR(__xludf.DUMMYFUNCTION("""COMPUTED_VALUE"""),"")</f>
        <v/>
      </c>
      <c r="H92" s="105" t="str">
        <f>IFERROR(__xludf.DUMMYFUNCTION("""COMPUTED_VALUE"""),"")</f>
        <v/>
      </c>
      <c r="I92" s="105" t="str">
        <f>IFERROR(__xludf.DUMMYFUNCTION("""COMPUTED_VALUE"""),"")</f>
        <v/>
      </c>
      <c r="J92" s="58">
        <f>IFERROR(__xludf.DUMMYFUNCTION("""COMPUTED_VALUE"""),0.0)</f>
        <v>0</v>
      </c>
      <c r="K92" s="59">
        <f>IFERROR(__xludf.DUMMYFUNCTION("""COMPUTED_VALUE"""),0.0)</f>
        <v>0</v>
      </c>
    </row>
    <row r="93">
      <c r="C93" s="60">
        <f>IFERROR(__xludf.DUMMYFUNCTION("""COMPUTED_VALUE"""),87.0)</f>
        <v>87</v>
      </c>
      <c r="D93" s="60"/>
      <c r="E93" s="62" t="str">
        <f>IFERROR(__xludf.DUMMYFUNCTION("""COMPUTED_VALUE"""),"")</f>
        <v/>
      </c>
      <c r="F93" s="62" t="str">
        <f>IFERROR(__xludf.DUMMYFUNCTION("""COMPUTED_VALUE"""),"")</f>
        <v/>
      </c>
      <c r="G93" s="62" t="str">
        <f>IFERROR(__xludf.DUMMYFUNCTION("""COMPUTED_VALUE"""),"")</f>
        <v/>
      </c>
      <c r="H93" s="107" t="str">
        <f>IFERROR(__xludf.DUMMYFUNCTION("""COMPUTED_VALUE"""),"")</f>
        <v/>
      </c>
      <c r="I93" s="107" t="str">
        <f>IFERROR(__xludf.DUMMYFUNCTION("""COMPUTED_VALUE"""),"")</f>
        <v/>
      </c>
      <c r="J93" s="65">
        <f>IFERROR(__xludf.DUMMYFUNCTION("""COMPUTED_VALUE"""),0.0)</f>
        <v>0</v>
      </c>
      <c r="K93" s="66">
        <f>IFERROR(__xludf.DUMMYFUNCTION("""COMPUTED_VALUE"""),0.0)</f>
        <v>0</v>
      </c>
    </row>
    <row r="94">
      <c r="B94" s="73"/>
      <c r="C94" s="55">
        <f>IFERROR(__xludf.DUMMYFUNCTION("""COMPUTED_VALUE"""),88.0)</f>
        <v>88</v>
      </c>
      <c r="D94" s="55"/>
      <c r="E94" s="56" t="str">
        <f>IFERROR(__xludf.DUMMYFUNCTION("""COMPUTED_VALUE"""),"")</f>
        <v/>
      </c>
      <c r="F94" s="56" t="str">
        <f>IFERROR(__xludf.DUMMYFUNCTION("""COMPUTED_VALUE"""),"")</f>
        <v/>
      </c>
      <c r="G94" s="56" t="str">
        <f>IFERROR(__xludf.DUMMYFUNCTION("""COMPUTED_VALUE"""),"")</f>
        <v/>
      </c>
      <c r="H94" s="105" t="str">
        <f>IFERROR(__xludf.DUMMYFUNCTION("""COMPUTED_VALUE"""),"")</f>
        <v/>
      </c>
      <c r="I94" s="105" t="str">
        <f>IFERROR(__xludf.DUMMYFUNCTION("""COMPUTED_VALUE"""),"")</f>
        <v/>
      </c>
      <c r="J94" s="58">
        <f>IFERROR(__xludf.DUMMYFUNCTION("""COMPUTED_VALUE"""),0.0)</f>
        <v>0</v>
      </c>
      <c r="K94" s="59">
        <f>IFERROR(__xludf.DUMMYFUNCTION("""COMPUTED_VALUE"""),0.0)</f>
        <v>0</v>
      </c>
    </row>
    <row r="95">
      <c r="B95" s="74" t="str">
        <f>IFERROR(__xludf.DUMMYFUNCTION("""COMPUTED_VALUE"""),"L")</f>
        <v>L</v>
      </c>
      <c r="C95" s="75">
        <f>IFERROR(__xludf.DUMMYFUNCTION("""COMPUTED_VALUE"""),89.0)</f>
        <v>89</v>
      </c>
      <c r="D95" s="75"/>
      <c r="E95" s="76" t="str">
        <f>IFERROR(__xludf.DUMMYFUNCTION("""COMPUTED_VALUE"""),"")</f>
        <v/>
      </c>
      <c r="F95" s="76" t="str">
        <f>IFERROR(__xludf.DUMMYFUNCTION("""COMPUTED_VALUE"""),"")</f>
        <v/>
      </c>
      <c r="G95" s="76" t="str">
        <f>IFERROR(__xludf.DUMMYFUNCTION("""COMPUTED_VALUE"""),"")</f>
        <v/>
      </c>
      <c r="H95" s="104" t="str">
        <f>IFERROR(__xludf.DUMMYFUNCTION("""COMPUTED_VALUE"""),"")</f>
        <v/>
      </c>
      <c r="I95" s="104" t="str">
        <f>IFERROR(__xludf.DUMMYFUNCTION("""COMPUTED_VALUE"""),"")</f>
        <v/>
      </c>
      <c r="J95" s="79">
        <f>IFERROR(__xludf.DUMMYFUNCTION("""COMPUTED_VALUE"""),0.0)</f>
        <v>0</v>
      </c>
      <c r="K95" s="80">
        <f>IFERROR(__xludf.DUMMYFUNCTION("""COMPUTED_VALUE"""),0.0)</f>
        <v>0</v>
      </c>
    </row>
    <row r="96">
      <c r="C96" s="55">
        <f>IFERROR(__xludf.DUMMYFUNCTION("""COMPUTED_VALUE"""),90.0)</f>
        <v>90</v>
      </c>
      <c r="D96" s="55"/>
      <c r="E96" s="56" t="str">
        <f>IFERROR(__xludf.DUMMYFUNCTION("""COMPUTED_VALUE"""),"")</f>
        <v/>
      </c>
      <c r="F96" s="56" t="str">
        <f>IFERROR(__xludf.DUMMYFUNCTION("""COMPUTED_VALUE"""),"")</f>
        <v/>
      </c>
      <c r="G96" s="56" t="str">
        <f>IFERROR(__xludf.DUMMYFUNCTION("""COMPUTED_VALUE"""),"")</f>
        <v/>
      </c>
      <c r="H96" s="105" t="str">
        <f>IFERROR(__xludf.DUMMYFUNCTION("""COMPUTED_VALUE"""),"")</f>
        <v/>
      </c>
      <c r="I96" s="105" t="str">
        <f>IFERROR(__xludf.DUMMYFUNCTION("""COMPUTED_VALUE"""),"")</f>
        <v/>
      </c>
      <c r="J96" s="58">
        <f>IFERROR(__xludf.DUMMYFUNCTION("""COMPUTED_VALUE"""),0.0)</f>
        <v>0</v>
      </c>
      <c r="K96" s="59">
        <f>IFERROR(__xludf.DUMMYFUNCTION("""COMPUTED_VALUE"""),0.0)</f>
        <v>0</v>
      </c>
    </row>
    <row r="97">
      <c r="C97" s="75">
        <f>IFERROR(__xludf.DUMMYFUNCTION("""COMPUTED_VALUE"""),91.0)</f>
        <v>91</v>
      </c>
      <c r="D97" s="75"/>
      <c r="E97" s="76" t="str">
        <f>IFERROR(__xludf.DUMMYFUNCTION("""COMPUTED_VALUE"""),"")</f>
        <v/>
      </c>
      <c r="F97" s="76" t="str">
        <f>IFERROR(__xludf.DUMMYFUNCTION("""COMPUTED_VALUE"""),"")</f>
        <v/>
      </c>
      <c r="G97" s="76" t="str">
        <f>IFERROR(__xludf.DUMMYFUNCTION("""COMPUTED_VALUE"""),"")</f>
        <v/>
      </c>
      <c r="H97" s="104" t="str">
        <f>IFERROR(__xludf.DUMMYFUNCTION("""COMPUTED_VALUE"""),"")</f>
        <v/>
      </c>
      <c r="I97" s="104" t="str">
        <f>IFERROR(__xludf.DUMMYFUNCTION("""COMPUTED_VALUE"""),"")</f>
        <v/>
      </c>
      <c r="J97" s="79">
        <f>IFERROR(__xludf.DUMMYFUNCTION("""COMPUTED_VALUE"""),0.0)</f>
        <v>0</v>
      </c>
      <c r="K97" s="80">
        <f>IFERROR(__xludf.DUMMYFUNCTION("""COMPUTED_VALUE"""),0.0)</f>
        <v>0</v>
      </c>
    </row>
    <row r="98">
      <c r="C98" s="55">
        <f>IFERROR(__xludf.DUMMYFUNCTION("""COMPUTED_VALUE"""),92.0)</f>
        <v>92</v>
      </c>
      <c r="D98" s="55"/>
      <c r="E98" s="56" t="str">
        <f>IFERROR(__xludf.DUMMYFUNCTION("""COMPUTED_VALUE"""),"")</f>
        <v/>
      </c>
      <c r="F98" s="56" t="str">
        <f>IFERROR(__xludf.DUMMYFUNCTION("""COMPUTED_VALUE"""),"")</f>
        <v/>
      </c>
      <c r="G98" s="56" t="str">
        <f>IFERROR(__xludf.DUMMYFUNCTION("""COMPUTED_VALUE"""),"")</f>
        <v/>
      </c>
      <c r="H98" s="105" t="str">
        <f>IFERROR(__xludf.DUMMYFUNCTION("""COMPUTED_VALUE"""),"")</f>
        <v/>
      </c>
      <c r="I98" s="105" t="str">
        <f>IFERROR(__xludf.DUMMYFUNCTION("""COMPUTED_VALUE"""),"")</f>
        <v/>
      </c>
      <c r="J98" s="58">
        <f>IFERROR(__xludf.DUMMYFUNCTION("""COMPUTED_VALUE"""),0.0)</f>
        <v>0</v>
      </c>
      <c r="K98" s="59">
        <f>IFERROR(__xludf.DUMMYFUNCTION("""COMPUTED_VALUE"""),0.0)</f>
        <v>0</v>
      </c>
    </row>
    <row r="99">
      <c r="C99" s="75">
        <f>IFERROR(__xludf.DUMMYFUNCTION("""COMPUTED_VALUE"""),93.0)</f>
        <v>93</v>
      </c>
      <c r="D99" s="75"/>
      <c r="E99" s="76" t="str">
        <f>IFERROR(__xludf.DUMMYFUNCTION("""COMPUTED_VALUE"""),"")</f>
        <v/>
      </c>
      <c r="F99" s="76" t="str">
        <f>IFERROR(__xludf.DUMMYFUNCTION("""COMPUTED_VALUE"""),"")</f>
        <v/>
      </c>
      <c r="G99" s="76" t="str">
        <f>IFERROR(__xludf.DUMMYFUNCTION("""COMPUTED_VALUE"""),"")</f>
        <v/>
      </c>
      <c r="H99" s="104" t="str">
        <f>IFERROR(__xludf.DUMMYFUNCTION("""COMPUTED_VALUE"""),"")</f>
        <v/>
      </c>
      <c r="I99" s="104" t="str">
        <f>IFERROR(__xludf.DUMMYFUNCTION("""COMPUTED_VALUE"""),"")</f>
        <v/>
      </c>
      <c r="J99" s="79">
        <f>IFERROR(__xludf.DUMMYFUNCTION("""COMPUTED_VALUE"""),0.0)</f>
        <v>0</v>
      </c>
      <c r="K99" s="80">
        <f>IFERROR(__xludf.DUMMYFUNCTION("""COMPUTED_VALUE"""),0.0)</f>
        <v>0</v>
      </c>
    </row>
    <row r="100">
      <c r="C100" s="55">
        <f>IFERROR(__xludf.DUMMYFUNCTION("""COMPUTED_VALUE"""),94.0)</f>
        <v>94</v>
      </c>
      <c r="D100" s="55"/>
      <c r="E100" s="56" t="str">
        <f>IFERROR(__xludf.DUMMYFUNCTION("""COMPUTED_VALUE"""),"")</f>
        <v/>
      </c>
      <c r="F100" s="56" t="str">
        <f>IFERROR(__xludf.DUMMYFUNCTION("""COMPUTED_VALUE"""),"")</f>
        <v/>
      </c>
      <c r="G100" s="56" t="str">
        <f>IFERROR(__xludf.DUMMYFUNCTION("""COMPUTED_VALUE"""),"")</f>
        <v/>
      </c>
      <c r="H100" s="105" t="str">
        <f>IFERROR(__xludf.DUMMYFUNCTION("""COMPUTED_VALUE"""),"")</f>
        <v/>
      </c>
      <c r="I100" s="105" t="str">
        <f>IFERROR(__xludf.DUMMYFUNCTION("""COMPUTED_VALUE"""),"")</f>
        <v/>
      </c>
      <c r="J100" s="58">
        <f>IFERROR(__xludf.DUMMYFUNCTION("""COMPUTED_VALUE"""),0.0)</f>
        <v>0</v>
      </c>
      <c r="K100" s="59">
        <f>IFERROR(__xludf.DUMMYFUNCTION("""COMPUTED_VALUE"""),0.0)</f>
        <v>0</v>
      </c>
    </row>
    <row r="101">
      <c r="C101" s="75">
        <f>IFERROR(__xludf.DUMMYFUNCTION("""COMPUTED_VALUE"""),95.0)</f>
        <v>95</v>
      </c>
      <c r="D101" s="75"/>
      <c r="E101" s="76" t="str">
        <f>IFERROR(__xludf.DUMMYFUNCTION("""COMPUTED_VALUE"""),"")</f>
        <v/>
      </c>
      <c r="F101" s="76" t="str">
        <f>IFERROR(__xludf.DUMMYFUNCTION("""COMPUTED_VALUE"""),"")</f>
        <v/>
      </c>
      <c r="G101" s="76" t="str">
        <f>IFERROR(__xludf.DUMMYFUNCTION("""COMPUTED_VALUE"""),"")</f>
        <v/>
      </c>
      <c r="H101" s="104" t="str">
        <f>IFERROR(__xludf.DUMMYFUNCTION("""COMPUTED_VALUE"""),"")</f>
        <v/>
      </c>
      <c r="I101" s="104" t="str">
        <f>IFERROR(__xludf.DUMMYFUNCTION("""COMPUTED_VALUE"""),"")</f>
        <v/>
      </c>
      <c r="J101" s="79">
        <f>IFERROR(__xludf.DUMMYFUNCTION("""COMPUTED_VALUE"""),0.0)</f>
        <v>0</v>
      </c>
      <c r="K101" s="80">
        <f>IFERROR(__xludf.DUMMYFUNCTION("""COMPUTED_VALUE"""),0.0)</f>
        <v>0</v>
      </c>
    </row>
    <row r="102">
      <c r="B102" s="73"/>
      <c r="C102" s="55">
        <f>IFERROR(__xludf.DUMMYFUNCTION("""COMPUTED_VALUE"""),96.0)</f>
        <v>96</v>
      </c>
      <c r="D102" s="55"/>
      <c r="E102" s="56" t="str">
        <f>IFERROR(__xludf.DUMMYFUNCTION("""COMPUTED_VALUE"""),"")</f>
        <v/>
      </c>
      <c r="F102" s="56" t="str">
        <f>IFERROR(__xludf.DUMMYFUNCTION("""COMPUTED_VALUE"""),"")</f>
        <v/>
      </c>
      <c r="G102" s="56" t="str">
        <f>IFERROR(__xludf.DUMMYFUNCTION("""COMPUTED_VALUE"""),"")</f>
        <v/>
      </c>
      <c r="H102" s="105" t="str">
        <f>IFERROR(__xludf.DUMMYFUNCTION("""COMPUTED_VALUE"""),"")</f>
        <v/>
      </c>
      <c r="I102" s="105" t="str">
        <f>IFERROR(__xludf.DUMMYFUNCTION("""COMPUTED_VALUE"""),"")</f>
        <v/>
      </c>
      <c r="J102" s="58">
        <f>IFERROR(__xludf.DUMMYFUNCTION("""COMPUTED_VALUE"""),0.0)</f>
        <v>0</v>
      </c>
      <c r="K102" s="59">
        <f>IFERROR(__xludf.DUMMYFUNCTION("""COMPUTED_VALUE"""),0.0)</f>
        <v>0</v>
      </c>
    </row>
    <row r="103">
      <c r="B103" s="47" t="str">
        <f>IFERROR(__xludf.DUMMYFUNCTION("""COMPUTED_VALUE"""),"M")</f>
        <v>M</v>
      </c>
      <c r="C103" s="48">
        <f>IFERROR(__xludf.DUMMYFUNCTION("""COMPUTED_VALUE"""),97.0)</f>
        <v>97</v>
      </c>
      <c r="D103" s="48"/>
      <c r="E103" s="51" t="str">
        <f>IFERROR(__xludf.DUMMYFUNCTION("""COMPUTED_VALUE"""),"")</f>
        <v/>
      </c>
      <c r="F103" s="51" t="str">
        <f>IFERROR(__xludf.DUMMYFUNCTION("""COMPUTED_VALUE"""),"")</f>
        <v/>
      </c>
      <c r="G103" s="51" t="str">
        <f>IFERROR(__xludf.DUMMYFUNCTION("""COMPUTED_VALUE"""),"")</f>
        <v/>
      </c>
      <c r="H103" s="110" t="str">
        <f>IFERROR(__xludf.DUMMYFUNCTION("""COMPUTED_VALUE"""),"")</f>
        <v/>
      </c>
      <c r="I103" s="110" t="str">
        <f>IFERROR(__xludf.DUMMYFUNCTION("""COMPUTED_VALUE"""),"")</f>
        <v/>
      </c>
      <c r="J103" s="53">
        <f>IFERROR(__xludf.DUMMYFUNCTION("""COMPUTED_VALUE"""),0.0)</f>
        <v>0</v>
      </c>
      <c r="K103" s="54">
        <f>IFERROR(__xludf.DUMMYFUNCTION("""COMPUTED_VALUE"""),0.0)</f>
        <v>0</v>
      </c>
    </row>
    <row r="104">
      <c r="C104" s="55">
        <f>IFERROR(__xludf.DUMMYFUNCTION("""COMPUTED_VALUE"""),98.0)</f>
        <v>98</v>
      </c>
      <c r="D104" s="55"/>
      <c r="E104" s="56" t="str">
        <f>IFERROR(__xludf.DUMMYFUNCTION("""COMPUTED_VALUE"""),"")</f>
        <v/>
      </c>
      <c r="F104" s="56" t="str">
        <f>IFERROR(__xludf.DUMMYFUNCTION("""COMPUTED_VALUE"""),"")</f>
        <v/>
      </c>
      <c r="G104" s="56" t="str">
        <f>IFERROR(__xludf.DUMMYFUNCTION("""COMPUTED_VALUE"""),"")</f>
        <v/>
      </c>
      <c r="H104" s="105" t="str">
        <f>IFERROR(__xludf.DUMMYFUNCTION("""COMPUTED_VALUE"""),"")</f>
        <v/>
      </c>
      <c r="I104" s="105" t="str">
        <f>IFERROR(__xludf.DUMMYFUNCTION("""COMPUTED_VALUE"""),"")</f>
        <v/>
      </c>
      <c r="J104" s="58">
        <f>IFERROR(__xludf.DUMMYFUNCTION("""COMPUTED_VALUE"""),0.0)</f>
        <v>0</v>
      </c>
      <c r="K104" s="59">
        <f>IFERROR(__xludf.DUMMYFUNCTION("""COMPUTED_VALUE"""),0.0)</f>
        <v>0</v>
      </c>
    </row>
    <row r="105">
      <c r="C105" s="60">
        <f>IFERROR(__xludf.DUMMYFUNCTION("""COMPUTED_VALUE"""),99.0)</f>
        <v>99</v>
      </c>
      <c r="D105" s="60"/>
      <c r="E105" s="62" t="str">
        <f>IFERROR(__xludf.DUMMYFUNCTION("""COMPUTED_VALUE"""),"")</f>
        <v/>
      </c>
      <c r="F105" s="62" t="str">
        <f>IFERROR(__xludf.DUMMYFUNCTION("""COMPUTED_VALUE"""),"")</f>
        <v/>
      </c>
      <c r="G105" s="62" t="str">
        <f>IFERROR(__xludf.DUMMYFUNCTION("""COMPUTED_VALUE"""),"")</f>
        <v/>
      </c>
      <c r="H105" s="107" t="str">
        <f>IFERROR(__xludf.DUMMYFUNCTION("""COMPUTED_VALUE"""),"")</f>
        <v/>
      </c>
      <c r="I105" s="107" t="str">
        <f>IFERROR(__xludf.DUMMYFUNCTION("""COMPUTED_VALUE"""),"")</f>
        <v/>
      </c>
      <c r="J105" s="65">
        <f>IFERROR(__xludf.DUMMYFUNCTION("""COMPUTED_VALUE"""),0.0)</f>
        <v>0</v>
      </c>
      <c r="K105" s="66">
        <f>IFERROR(__xludf.DUMMYFUNCTION("""COMPUTED_VALUE"""),0.0)</f>
        <v>0</v>
      </c>
    </row>
    <row r="106">
      <c r="B106" s="73"/>
      <c r="C106" s="55">
        <f>IFERROR(__xludf.DUMMYFUNCTION("""COMPUTED_VALUE"""),100.0)</f>
        <v>100</v>
      </c>
      <c r="D106" s="55"/>
      <c r="E106" s="56" t="str">
        <f>IFERROR(__xludf.DUMMYFUNCTION("""COMPUTED_VALUE"""),"")</f>
        <v/>
      </c>
      <c r="F106" s="56" t="str">
        <f>IFERROR(__xludf.DUMMYFUNCTION("""COMPUTED_VALUE"""),"")</f>
        <v/>
      </c>
      <c r="G106" s="56" t="str">
        <f>IFERROR(__xludf.DUMMYFUNCTION("""COMPUTED_VALUE"""),"")</f>
        <v/>
      </c>
      <c r="H106" s="105" t="str">
        <f>IFERROR(__xludf.DUMMYFUNCTION("""COMPUTED_VALUE"""),"")</f>
        <v/>
      </c>
      <c r="I106" s="105" t="str">
        <f>IFERROR(__xludf.DUMMYFUNCTION("""COMPUTED_VALUE"""),"")</f>
        <v/>
      </c>
      <c r="J106" s="58">
        <f>IFERROR(__xludf.DUMMYFUNCTION("""COMPUTED_VALUE"""),0.0)</f>
        <v>0</v>
      </c>
      <c r="K106" s="59">
        <f>IFERROR(__xludf.DUMMYFUNCTION("""COMPUTED_VALUE"""),0.0)</f>
        <v>0</v>
      </c>
    </row>
  </sheetData>
  <mergeCells count="13">
    <mergeCell ref="B63:B70"/>
    <mergeCell ref="B71:B78"/>
    <mergeCell ref="B79:B86"/>
    <mergeCell ref="B87:B94"/>
    <mergeCell ref="B95:B102"/>
    <mergeCell ref="B103:B106"/>
    <mergeCell ref="B7:B14"/>
    <mergeCell ref="B15:B22"/>
    <mergeCell ref="B23:B30"/>
    <mergeCell ref="B31:B38"/>
    <mergeCell ref="B39:B46"/>
    <mergeCell ref="B47:B54"/>
    <mergeCell ref="B55:B6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Col="1"/>
  <cols>
    <col customWidth="1" min="2" max="2" width="9.0"/>
    <col customWidth="1" min="3" max="3" width="6.25"/>
    <col customWidth="1" min="4" max="4" width="21.5"/>
    <col customWidth="1" min="5" max="5" width="15.88"/>
    <col customWidth="1" min="6" max="6" width="19.75"/>
    <col customWidth="1" min="7" max="7" width="6.5"/>
    <col collapsed="1" customWidth="1" min="8" max="8" width="7.13"/>
    <col customWidth="1" hidden="1" min="9" max="9" width="4.63" outlineLevel="1"/>
    <col customWidth="1" hidden="1" min="10" max="10" width="5.75" outlineLevel="1"/>
    <col customWidth="1" min="11" max="11" width="12.13"/>
    <col customWidth="1" min="12" max="12" width="25.0"/>
    <col customWidth="1" min="13" max="13" width="17.75"/>
    <col customWidth="1" min="14" max="14" width="16.5"/>
    <col customWidth="1" min="15" max="15" width="5.38"/>
  </cols>
  <sheetData>
    <row r="1">
      <c r="A1" s="1"/>
      <c r="B1" s="5"/>
      <c r="C1" s="5"/>
      <c r="D1" s="5"/>
      <c r="E1" s="5"/>
      <c r="F1" s="5"/>
      <c r="G1" s="7"/>
      <c r="H1" s="7"/>
      <c r="I1" s="7"/>
      <c r="J1" s="7"/>
      <c r="K1" s="7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13"/>
      <c r="B2" s="16" t="str">
        <f>IFERROR(__xludf.DUMMYFUNCTION("importrange(""186BTcLZIRRmcGcU5S6nDdN41SUH8zUJ1gFEIezWrRnQ"",""'quali top'!B2:L102"")"),"Quali pos.")</f>
        <v>Quali pos.</v>
      </c>
      <c r="C2" s="16" t="str">
        <f>IFERROR(__xludf.DUMMYFUNCTION("""COMPUTED_VALUE"""),"Car nr.")</f>
        <v>Car nr.</v>
      </c>
      <c r="D2" s="16" t="str">
        <f>IFERROR(__xludf.DUMMYFUNCTION("""COMPUTED_VALUE"""),"Name")</f>
        <v>Name</v>
      </c>
      <c r="E2" s="16" t="str">
        <f>IFERROR(__xludf.DUMMYFUNCTION("""COMPUTED_VALUE"""),"Country")</f>
        <v>Country</v>
      </c>
      <c r="F2" s="16" t="str">
        <f>IFERROR(__xludf.DUMMYFUNCTION("""COMPUTED_VALUE"""),"Car")</f>
        <v>Car</v>
      </c>
      <c r="G2" s="19" t="str">
        <f>IFERROR(__xludf.DUMMYFUNCTION("""COMPUTED_VALUE"""),"1st run")</f>
        <v>1st run</v>
      </c>
      <c r="H2" s="19" t="str">
        <f>IFERROR(__xludf.DUMMYFUNCTION("""COMPUTED_VALUE"""),"2nd run")</f>
        <v>2nd run</v>
      </c>
      <c r="I2" s="21" t="str">
        <f>IFERROR(__xludf.DUMMYFUNCTION("""COMPUTED_VALUE"""),"Best")</f>
        <v>Best</v>
      </c>
      <c r="J2" s="21" t="str">
        <f>IFERROR(__xludf.DUMMYFUNCTION("""COMPUTED_VALUE"""),"Worst")</f>
        <v>Worst</v>
      </c>
      <c r="K2" s="19" t="str">
        <f>IFERROR(__xludf.DUMMYFUNCTION("""COMPUTED_VALUE"""),"Gained points")</f>
        <v>Gained points</v>
      </c>
      <c r="L2" s="21" t="str">
        <f>IFERROR(__xludf.DUMMYFUNCTION("""COMPUTED_VALUE"""),"Team")</f>
        <v>Team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2"/>
      <c r="B3" s="28">
        <f>IFERROR(__xludf.DUMMYFUNCTION("""COMPUTED_VALUE"""),1.0)</f>
        <v>1</v>
      </c>
      <c r="C3" s="28">
        <f>IFERROR(__xludf.DUMMYFUNCTION("""COMPUTED_VALUE"""),895.0)</f>
        <v>895</v>
      </c>
      <c r="D3" s="28" t="str">
        <f>IFERROR(__xludf.DUMMYFUNCTION("""COMPUTED_VALUE"""),"Siim Voort")</f>
        <v>Siim Voort</v>
      </c>
      <c r="E3" s="28" t="str">
        <f>IFERROR(__xludf.DUMMYFUNCTION("""COMPUTED_VALUE"""),"Estonia")</f>
        <v>Estonia</v>
      </c>
      <c r="F3" s="28" t="str">
        <f>IFERROR(__xludf.DUMMYFUNCTION("""COMPUTED_VALUE"""),"BMW E36")</f>
        <v>BMW E36</v>
      </c>
      <c r="G3" s="31">
        <f>IFERROR(__xludf.DUMMYFUNCTION("""COMPUTED_VALUE"""),94.0)</f>
        <v>94</v>
      </c>
      <c r="H3" s="31">
        <f>IFERROR(__xludf.DUMMYFUNCTION("""COMPUTED_VALUE"""),85.0)</f>
        <v>85</v>
      </c>
      <c r="I3" s="31">
        <f>IFERROR(__xludf.DUMMYFUNCTION("""COMPUTED_VALUE"""),94.0085)</f>
        <v>94.0085</v>
      </c>
      <c r="J3" s="34">
        <f>IFERROR(__xludf.DUMMYFUNCTION("""COMPUTED_VALUE"""),85.0)</f>
        <v>85</v>
      </c>
      <c r="K3" s="36">
        <f>IFERROR(__xludf.DUMMYFUNCTION("""COMPUTED_VALUE"""),12.0)</f>
        <v>12</v>
      </c>
      <c r="L3" s="3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2"/>
      <c r="B4" s="5">
        <f>IFERROR(__xludf.DUMMYFUNCTION("""COMPUTED_VALUE"""),2.0)</f>
        <v>2</v>
      </c>
      <c r="C4" s="5">
        <f>IFERROR(__xludf.DUMMYFUNCTION("""COMPUTED_VALUE"""),26.0)</f>
        <v>26</v>
      </c>
      <c r="D4" s="5" t="str">
        <f>IFERROR(__xludf.DUMMYFUNCTION("""COMPUTED_VALUE"""),"Iban Torreblanca")</f>
        <v>Iban Torreblanca</v>
      </c>
      <c r="E4" s="5" t="str">
        <f>IFERROR(__xludf.DUMMYFUNCTION("""COMPUTED_VALUE"""),"Spain")</f>
        <v>Spain</v>
      </c>
      <c r="F4" s="5" t="str">
        <f>IFERROR(__xludf.DUMMYFUNCTION("""COMPUTED_VALUE"""),"BMW E36")</f>
        <v>BMW E36</v>
      </c>
      <c r="G4" s="42">
        <f>IFERROR(__xludf.DUMMYFUNCTION("""COMPUTED_VALUE"""),92.0)</f>
        <v>92</v>
      </c>
      <c r="H4" s="42">
        <f>IFERROR(__xludf.DUMMYFUNCTION("""COMPUTED_VALUE"""),90.0)</f>
        <v>90</v>
      </c>
      <c r="I4" s="42">
        <f>IFERROR(__xludf.DUMMYFUNCTION("""COMPUTED_VALUE"""),92.009)</f>
        <v>92.009</v>
      </c>
      <c r="J4" s="45">
        <f>IFERROR(__xludf.DUMMYFUNCTION("""COMPUTED_VALUE"""),90.0)</f>
        <v>90</v>
      </c>
      <c r="K4" s="46">
        <f>IFERROR(__xludf.DUMMYFUNCTION("""COMPUTED_VALUE"""),10.0)</f>
        <v>10</v>
      </c>
      <c r="L4" s="42" t="str">
        <f>IFERROR(__xludf.DUMMYFUNCTION("""COMPUTED_VALUE"""),"ESKUKO black")</f>
        <v>ESKUKO black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2"/>
      <c r="B5" s="28">
        <f>IFERROR(__xludf.DUMMYFUNCTION("""COMPUTED_VALUE"""),3.0)</f>
        <v>3</v>
      </c>
      <c r="C5" s="28">
        <f>IFERROR(__xludf.DUMMYFUNCTION("""COMPUTED_VALUE"""),211.0)</f>
        <v>211</v>
      </c>
      <c r="D5" s="28" t="str">
        <f>IFERROR(__xludf.DUMMYFUNCTION("""COMPUTED_VALUE"""),"David Laczko")</f>
        <v>David Laczko</v>
      </c>
      <c r="E5" s="28" t="str">
        <f>IFERROR(__xludf.DUMMYFUNCTION("""COMPUTED_VALUE"""),"Romania")</f>
        <v>Romania</v>
      </c>
      <c r="F5" s="28" t="str">
        <f>IFERROR(__xludf.DUMMYFUNCTION("""COMPUTED_VALUE"""),"BMW E46")</f>
        <v>BMW E46</v>
      </c>
      <c r="G5" s="31">
        <f>IFERROR(__xludf.DUMMYFUNCTION("""COMPUTED_VALUE"""),83.0)</f>
        <v>83</v>
      </c>
      <c r="H5" s="31">
        <f>IFERROR(__xludf.DUMMYFUNCTION("""COMPUTED_VALUE"""),91.0)</f>
        <v>91</v>
      </c>
      <c r="I5" s="31">
        <f>IFERROR(__xludf.DUMMYFUNCTION("""COMPUTED_VALUE"""),91.0083)</f>
        <v>91.0083</v>
      </c>
      <c r="J5" s="34">
        <f>IFERROR(__xludf.DUMMYFUNCTION("""COMPUTED_VALUE"""),83.0)</f>
        <v>83</v>
      </c>
      <c r="K5" s="36">
        <f>IFERROR(__xludf.DUMMYFUNCTION("""COMPUTED_VALUE"""),8.0)</f>
        <v>8</v>
      </c>
      <c r="L5" s="31" t="str">
        <f>IFERROR(__xludf.DUMMYFUNCTION("""COMPUTED_VALUE"""),"Hashira")</f>
        <v>Hashira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2"/>
      <c r="B6" s="5">
        <f>IFERROR(__xludf.DUMMYFUNCTION("""COMPUTED_VALUE"""),4.0)</f>
        <v>4</v>
      </c>
      <c r="C6" s="5">
        <f>IFERROR(__xludf.DUMMYFUNCTION("""COMPUTED_VALUE"""),66.0)</f>
        <v>66</v>
      </c>
      <c r="D6" s="5" t="str">
        <f>IFERROR(__xludf.DUMMYFUNCTION("""COMPUTED_VALUE"""),"Juanan Jorques")</f>
        <v>Juanan Jorques</v>
      </c>
      <c r="E6" s="5" t="str">
        <f>IFERROR(__xludf.DUMMYFUNCTION("""COMPUTED_VALUE"""),"Spain")</f>
        <v>Spain</v>
      </c>
      <c r="F6" s="5" t="str">
        <f>IFERROR(__xludf.DUMMYFUNCTION("""COMPUTED_VALUE"""),"BMW E46")</f>
        <v>BMW E46</v>
      </c>
      <c r="G6" s="42">
        <f>IFERROR(__xludf.DUMMYFUNCTION("""COMPUTED_VALUE"""),90.0)</f>
        <v>90</v>
      </c>
      <c r="H6" s="42">
        <f>IFERROR(__xludf.DUMMYFUNCTION("""COMPUTED_VALUE"""),87.0)</f>
        <v>87</v>
      </c>
      <c r="I6" s="42">
        <f>IFERROR(__xludf.DUMMYFUNCTION("""COMPUTED_VALUE"""),90.0087)</f>
        <v>90.0087</v>
      </c>
      <c r="J6" s="45">
        <f>IFERROR(__xludf.DUMMYFUNCTION("""COMPUTED_VALUE"""),87.0)</f>
        <v>87</v>
      </c>
      <c r="K6" s="46">
        <f>IFERROR(__xludf.DUMMYFUNCTION("""COMPUTED_VALUE"""),6.0)</f>
        <v>6</v>
      </c>
      <c r="L6" s="42" t="str">
        <f>IFERROR(__xludf.DUMMYFUNCTION("""COMPUTED_VALUE"""),"Eskuko Black")</f>
        <v>Eskuko Black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2"/>
      <c r="B7" s="28">
        <f>IFERROR(__xludf.DUMMYFUNCTION("""COMPUTED_VALUE"""),5.0)</f>
        <v>5</v>
      </c>
      <c r="C7" s="28">
        <f>IFERROR(__xludf.DUMMYFUNCTION("""COMPUTED_VALUE"""),410.0)</f>
        <v>410</v>
      </c>
      <c r="D7" s="28" t="str">
        <f>IFERROR(__xludf.DUMMYFUNCTION("""COMPUTED_VALUE"""),"Chase Cronin")</f>
        <v>Chase Cronin</v>
      </c>
      <c r="E7" s="28" t="str">
        <f>IFERROR(__xludf.DUMMYFUNCTION("""COMPUTED_VALUE"""),"United States")</f>
        <v>United States</v>
      </c>
      <c r="F7" s="28" t="str">
        <f>IFERROR(__xludf.DUMMYFUNCTION("""COMPUTED_VALUE"""),"BMW E46")</f>
        <v>BMW E46</v>
      </c>
      <c r="G7" s="31">
        <f>IFERROR(__xludf.DUMMYFUNCTION("""COMPUTED_VALUE"""),88.0)</f>
        <v>88</v>
      </c>
      <c r="H7" s="31">
        <f>IFERROR(__xludf.DUMMYFUNCTION("""COMPUTED_VALUE"""),89.0)</f>
        <v>89</v>
      </c>
      <c r="I7" s="31">
        <f>IFERROR(__xludf.DUMMYFUNCTION("""COMPUTED_VALUE"""),89.0088)</f>
        <v>89.0088</v>
      </c>
      <c r="J7" s="34">
        <f>IFERROR(__xludf.DUMMYFUNCTION("""COMPUTED_VALUE"""),88.0)</f>
        <v>88</v>
      </c>
      <c r="K7" s="36">
        <f>IFERROR(__xludf.DUMMYFUNCTION("""COMPUTED_VALUE"""),4.0)</f>
        <v>4</v>
      </c>
      <c r="L7" s="31" t="str">
        <f>IFERROR(__xludf.DUMMYFUNCTION("""COMPUTED_VALUE"""),"Kaiju")</f>
        <v>Kaiju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2"/>
      <c r="B8" s="5">
        <f>IFERROR(__xludf.DUMMYFUNCTION("""COMPUTED_VALUE"""),6.0)</f>
        <v>6</v>
      </c>
      <c r="C8" s="5">
        <f>IFERROR(__xludf.DUMMYFUNCTION("""COMPUTED_VALUE"""),41.0)</f>
        <v>41</v>
      </c>
      <c r="D8" s="5" t="str">
        <f>IFERROR(__xludf.DUMMYFUNCTION("""COMPUTED_VALUE"""),"Armands Vestmanis")</f>
        <v>Armands Vestmanis</v>
      </c>
      <c r="E8" s="5" t="str">
        <f>IFERROR(__xludf.DUMMYFUNCTION("""COMPUTED_VALUE"""),"Latvia")</f>
        <v>Latvia</v>
      </c>
      <c r="F8" s="5" t="str">
        <f>IFERROR(__xludf.DUMMYFUNCTION("""COMPUTED_VALUE"""),"BMW E36")</f>
        <v>BMW E36</v>
      </c>
      <c r="G8" s="42">
        <f>IFERROR(__xludf.DUMMYFUNCTION("""COMPUTED_VALUE"""),83.0)</f>
        <v>83</v>
      </c>
      <c r="H8" s="42">
        <f>IFERROR(__xludf.DUMMYFUNCTION("""COMPUTED_VALUE"""),88.0)</f>
        <v>88</v>
      </c>
      <c r="I8" s="42">
        <f>IFERROR(__xludf.DUMMYFUNCTION("""COMPUTED_VALUE"""),88.0083)</f>
        <v>88.0083</v>
      </c>
      <c r="J8" s="45">
        <f>IFERROR(__xludf.DUMMYFUNCTION("""COMPUTED_VALUE"""),83.0)</f>
        <v>83</v>
      </c>
      <c r="K8" s="46">
        <f>IFERROR(__xludf.DUMMYFUNCTION("""COMPUTED_VALUE"""),4.0)</f>
        <v>4</v>
      </c>
      <c r="L8" s="42" t="str">
        <f>IFERROR(__xludf.DUMMYFUNCTION("""COMPUTED_VALUE"""),"RTRiga")</f>
        <v>RTRiga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2"/>
      <c r="B9" s="28">
        <f>IFERROR(__xludf.DUMMYFUNCTION("""COMPUTED_VALUE"""),7.0)</f>
        <v>7</v>
      </c>
      <c r="C9" s="28">
        <f>IFERROR(__xludf.DUMMYFUNCTION("""COMPUTED_VALUE"""),336.0)</f>
        <v>336</v>
      </c>
      <c r="D9" s="28" t="str">
        <f>IFERROR(__xludf.DUMMYFUNCTION("""COMPUTED_VALUE"""),"Darius Ostreika")</f>
        <v>Darius Ostreika</v>
      </c>
      <c r="E9" s="28" t="str">
        <f>IFERROR(__xludf.DUMMYFUNCTION("""COMPUTED_VALUE"""),"Lithuania")</f>
        <v>Lithuania</v>
      </c>
      <c r="F9" s="28" t="str">
        <f>IFERROR(__xludf.DUMMYFUNCTION("""COMPUTED_VALUE"""),"BMW E36")</f>
        <v>BMW E36</v>
      </c>
      <c r="G9" s="31">
        <f>IFERROR(__xludf.DUMMYFUNCTION("""COMPUTED_VALUE"""),80.0)</f>
        <v>80</v>
      </c>
      <c r="H9" s="31">
        <f>IFERROR(__xludf.DUMMYFUNCTION("""COMPUTED_VALUE"""),88.0)</f>
        <v>88</v>
      </c>
      <c r="I9" s="31">
        <f>IFERROR(__xludf.DUMMYFUNCTION("""COMPUTED_VALUE"""),88.008)</f>
        <v>88.008</v>
      </c>
      <c r="J9" s="34">
        <f>IFERROR(__xludf.DUMMYFUNCTION("""COMPUTED_VALUE"""),80.0)</f>
        <v>80</v>
      </c>
      <c r="K9" s="36">
        <f>IFERROR(__xludf.DUMMYFUNCTION("""COMPUTED_VALUE"""),3.0)</f>
        <v>3</v>
      </c>
      <c r="L9" s="31" t="str">
        <f>IFERROR(__xludf.DUMMYFUNCTION("""COMPUTED_VALUE"""),"RTW")</f>
        <v>RTW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2"/>
      <c r="B10" s="5">
        <f>IFERROR(__xludf.DUMMYFUNCTION("""COMPUTED_VALUE"""),8.0)</f>
        <v>8</v>
      </c>
      <c r="C10" s="5">
        <f>IFERROR(__xludf.DUMMYFUNCTION("""COMPUTED_VALUE"""),401.0)</f>
        <v>401</v>
      </c>
      <c r="D10" s="5" t="str">
        <f>IFERROR(__xludf.DUMMYFUNCTION("""COMPUTED_VALUE"""),"Artur Kula")</f>
        <v>Artur Kula</v>
      </c>
      <c r="E10" s="5" t="str">
        <f>IFERROR(__xludf.DUMMYFUNCTION("""COMPUTED_VALUE"""),"Poland")</f>
        <v>Poland</v>
      </c>
      <c r="F10" s="5" t="str">
        <f>IFERROR(__xludf.DUMMYFUNCTION("""COMPUTED_VALUE"""),"BMW E36")</f>
        <v>BMW E36</v>
      </c>
      <c r="G10" s="42">
        <f>IFERROR(__xludf.DUMMYFUNCTION("""COMPUTED_VALUE"""),86.0)</f>
        <v>86</v>
      </c>
      <c r="H10" s="42">
        <f>IFERROR(__xludf.DUMMYFUNCTION("""COMPUTED_VALUE"""),87.0)</f>
        <v>87</v>
      </c>
      <c r="I10" s="42">
        <f>IFERROR(__xludf.DUMMYFUNCTION("""COMPUTED_VALUE"""),87.0086)</f>
        <v>87.0086</v>
      </c>
      <c r="J10" s="45">
        <f>IFERROR(__xludf.DUMMYFUNCTION("""COMPUTED_VALUE"""),86.0)</f>
        <v>86</v>
      </c>
      <c r="K10" s="46">
        <f>IFERROR(__xludf.DUMMYFUNCTION("""COMPUTED_VALUE"""),3.0)</f>
        <v>3</v>
      </c>
      <c r="L10" s="42" t="str">
        <f>IFERROR(__xludf.DUMMYFUNCTION("""COMPUTED_VALUE"""),"Griptone")</f>
        <v>Griptone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2"/>
      <c r="B11" s="83">
        <f>IFERROR(__xludf.DUMMYFUNCTION("""COMPUTED_VALUE"""),9.0)</f>
        <v>9</v>
      </c>
      <c r="C11" s="83">
        <f>IFERROR(__xludf.DUMMYFUNCTION("""COMPUTED_VALUE"""),18.0)</f>
        <v>18</v>
      </c>
      <c r="D11" s="83" t="str">
        <f>IFERROR(__xludf.DUMMYFUNCTION("""COMPUTED_VALUE"""),"Matīss Lācis")</f>
        <v>Matīss Lācis</v>
      </c>
      <c r="E11" s="83" t="str">
        <f>IFERROR(__xludf.DUMMYFUNCTION("""COMPUTED_VALUE"""),"Latvia")</f>
        <v>Latvia</v>
      </c>
      <c r="F11" s="83" t="str">
        <f>IFERROR(__xludf.DUMMYFUNCTION("""COMPUTED_VALUE"""),"BMW E46")</f>
        <v>BMW E46</v>
      </c>
      <c r="G11" s="84">
        <f>IFERROR(__xludf.DUMMYFUNCTION("""COMPUTED_VALUE"""),69.0)</f>
        <v>69</v>
      </c>
      <c r="H11" s="84">
        <f>IFERROR(__xludf.DUMMYFUNCTION("""COMPUTED_VALUE"""),86.0)</f>
        <v>86</v>
      </c>
      <c r="I11" s="84">
        <f>IFERROR(__xludf.DUMMYFUNCTION("""COMPUTED_VALUE"""),86.0069)</f>
        <v>86.0069</v>
      </c>
      <c r="J11" s="86">
        <f>IFERROR(__xludf.DUMMYFUNCTION("""COMPUTED_VALUE"""),69.0)</f>
        <v>69</v>
      </c>
      <c r="K11" s="87">
        <f>IFERROR(__xludf.DUMMYFUNCTION("""COMPUTED_VALUE"""),2.0)</f>
        <v>2</v>
      </c>
      <c r="L11" s="84" t="str">
        <f>IFERROR(__xludf.DUMMYFUNCTION("""COMPUTED_VALUE"""),"RTRiga")</f>
        <v>RTRiga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2"/>
      <c r="B12" s="5">
        <f>IFERROR(__xludf.DUMMYFUNCTION("""COMPUTED_VALUE"""),10.0)</f>
        <v>10</v>
      </c>
      <c r="C12" s="5">
        <f>IFERROR(__xludf.DUMMYFUNCTION("""COMPUTED_VALUE"""),414.0)</f>
        <v>414</v>
      </c>
      <c r="D12" s="5" t="str">
        <f>IFERROR(__xludf.DUMMYFUNCTION("""COMPUTED_VALUE"""),"Tytus Rosiński")</f>
        <v>Tytus Rosiński</v>
      </c>
      <c r="E12" s="5" t="str">
        <f>IFERROR(__xludf.DUMMYFUNCTION("""COMPUTED_VALUE"""),"Poland")</f>
        <v>Poland</v>
      </c>
      <c r="F12" s="5" t="str">
        <f>IFERROR(__xludf.DUMMYFUNCTION("""COMPUTED_VALUE"""),"BMW E36")</f>
        <v>BMW E36</v>
      </c>
      <c r="G12" s="42">
        <f>IFERROR(__xludf.DUMMYFUNCTION("""COMPUTED_VALUE"""),85.0)</f>
        <v>85</v>
      </c>
      <c r="H12" s="42">
        <f>IFERROR(__xludf.DUMMYFUNCTION("""COMPUTED_VALUE"""),85.0)</f>
        <v>85</v>
      </c>
      <c r="I12" s="42">
        <f>IFERROR(__xludf.DUMMYFUNCTION("""COMPUTED_VALUE"""),85.0085)</f>
        <v>85.0085</v>
      </c>
      <c r="J12" s="45">
        <f>IFERROR(__xludf.DUMMYFUNCTION("""COMPUTED_VALUE"""),85.0)</f>
        <v>85</v>
      </c>
      <c r="K12" s="46">
        <f>IFERROR(__xludf.DUMMYFUNCTION("""COMPUTED_VALUE"""),2.0)</f>
        <v>2</v>
      </c>
      <c r="L12" s="4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2"/>
      <c r="B13" s="83">
        <f>IFERROR(__xludf.DUMMYFUNCTION("""COMPUTED_VALUE"""),11.0)</f>
        <v>11</v>
      </c>
      <c r="C13" s="83">
        <f>IFERROR(__xludf.DUMMYFUNCTION("""COMPUTED_VALUE"""),412.0)</f>
        <v>412</v>
      </c>
      <c r="D13" s="83" t="str">
        <f>IFERROR(__xludf.DUMMYFUNCTION("""COMPUTED_VALUE"""),"Owen Ellis")</f>
        <v>Owen Ellis</v>
      </c>
      <c r="E13" s="83" t="str">
        <f>IFERROR(__xludf.DUMMYFUNCTION("""COMPUTED_VALUE"""),"United States")</f>
        <v>United States</v>
      </c>
      <c r="F13" s="83" t="str">
        <f>IFERROR(__xludf.DUMMYFUNCTION("""COMPUTED_VALUE"""),"BMW E46")</f>
        <v>BMW E46</v>
      </c>
      <c r="G13" s="84">
        <f>IFERROR(__xludf.DUMMYFUNCTION("""COMPUTED_VALUE"""),79.0)</f>
        <v>79</v>
      </c>
      <c r="H13" s="84">
        <f>IFERROR(__xludf.DUMMYFUNCTION("""COMPUTED_VALUE"""),83.0)</f>
        <v>83</v>
      </c>
      <c r="I13" s="84">
        <f>IFERROR(__xludf.DUMMYFUNCTION("""COMPUTED_VALUE"""),83.0079)</f>
        <v>83.0079</v>
      </c>
      <c r="J13" s="86">
        <f>IFERROR(__xludf.DUMMYFUNCTION("""COMPUTED_VALUE"""),79.0)</f>
        <v>79</v>
      </c>
      <c r="K13" s="87">
        <f>IFERROR(__xludf.DUMMYFUNCTION("""COMPUTED_VALUE"""),2.0)</f>
        <v>2</v>
      </c>
      <c r="L13" s="84" t="str">
        <f>IFERROR(__xludf.DUMMYFUNCTION("""COMPUTED_VALUE"""),"Kaiju")</f>
        <v>Kaiju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2"/>
      <c r="B14" s="5">
        <f>IFERROR(__xludf.DUMMYFUNCTION("""COMPUTED_VALUE"""),12.0)</f>
        <v>12</v>
      </c>
      <c r="C14" s="5">
        <f>IFERROR(__xludf.DUMMYFUNCTION("""COMPUTED_VALUE"""),314.0)</f>
        <v>314</v>
      </c>
      <c r="D14" s="5" t="str">
        <f>IFERROR(__xludf.DUMMYFUNCTION("""COMPUTED_VALUE"""),"Adrian Roncero")</f>
        <v>Adrian Roncero</v>
      </c>
      <c r="E14" s="5" t="str">
        <f>IFERROR(__xludf.DUMMYFUNCTION("""COMPUTED_VALUE"""),"Spain")</f>
        <v>Spain</v>
      </c>
      <c r="F14" s="5" t="str">
        <f>IFERROR(__xludf.DUMMYFUNCTION("""COMPUTED_VALUE"""),"BMW E36")</f>
        <v>BMW E36</v>
      </c>
      <c r="G14" s="42">
        <f>IFERROR(__xludf.DUMMYFUNCTION("""COMPUTED_VALUE"""),0.0)</f>
        <v>0</v>
      </c>
      <c r="H14" s="42">
        <f>IFERROR(__xludf.DUMMYFUNCTION("""COMPUTED_VALUE"""),83.0)</f>
        <v>83</v>
      </c>
      <c r="I14" s="42">
        <f>IFERROR(__xludf.DUMMYFUNCTION("""COMPUTED_VALUE"""),83.0)</f>
        <v>83</v>
      </c>
      <c r="J14" s="45">
        <f>IFERROR(__xludf.DUMMYFUNCTION("""COMPUTED_VALUE"""),0.0)</f>
        <v>0</v>
      </c>
      <c r="K14" s="46">
        <f>IFERROR(__xludf.DUMMYFUNCTION("""COMPUTED_VALUE"""),2.0)</f>
        <v>2</v>
      </c>
      <c r="L14" s="4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2"/>
      <c r="B15" s="83">
        <f>IFERROR(__xludf.DUMMYFUNCTION("""COMPUTED_VALUE"""),13.0)</f>
        <v>13</v>
      </c>
      <c r="C15" s="83">
        <f>IFERROR(__xludf.DUMMYFUNCTION("""COMPUTED_VALUE"""),686.0)</f>
        <v>686</v>
      </c>
      <c r="D15" s="83" t="str">
        <f>IFERROR(__xludf.DUMMYFUNCTION("""COMPUTED_VALUE"""),"Luis Treviño")</f>
        <v>Luis Treviño</v>
      </c>
      <c r="E15" s="83" t="str">
        <f>IFERROR(__xludf.DUMMYFUNCTION("""COMPUTED_VALUE"""),"Spain")</f>
        <v>Spain</v>
      </c>
      <c r="F15" s="83" t="str">
        <f>IFERROR(__xludf.DUMMYFUNCTION("""COMPUTED_VALUE"""),"BMW E36")</f>
        <v>BMW E36</v>
      </c>
      <c r="G15" s="84">
        <f>IFERROR(__xludf.DUMMYFUNCTION("""COMPUTED_VALUE"""),83.0)</f>
        <v>83</v>
      </c>
      <c r="H15" s="84">
        <f>IFERROR(__xludf.DUMMYFUNCTION("""COMPUTED_VALUE"""),0.0)</f>
        <v>0</v>
      </c>
      <c r="I15" s="84">
        <f>IFERROR(__xludf.DUMMYFUNCTION("""COMPUTED_VALUE"""),83.0)</f>
        <v>83</v>
      </c>
      <c r="J15" s="86">
        <f>IFERROR(__xludf.DUMMYFUNCTION("""COMPUTED_VALUE"""),0.0)</f>
        <v>0</v>
      </c>
      <c r="K15" s="87">
        <f>IFERROR(__xludf.DUMMYFUNCTION("""COMPUTED_VALUE"""),1.0)</f>
        <v>1</v>
      </c>
      <c r="L15" s="84" t="str">
        <f>IFERROR(__xludf.DUMMYFUNCTION("""COMPUTED_VALUE"""),"Eskuko Black")</f>
        <v>Eskuko Black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2"/>
      <c r="B16" s="5">
        <f>IFERROR(__xludf.DUMMYFUNCTION("""COMPUTED_VALUE"""),14.0)</f>
        <v>14</v>
      </c>
      <c r="C16" s="5">
        <f>IFERROR(__xludf.DUMMYFUNCTION("""COMPUTED_VALUE"""),649.0)</f>
        <v>649</v>
      </c>
      <c r="D16" s="5" t="str">
        <f>IFERROR(__xludf.DUMMYFUNCTION("""COMPUTED_VALUE"""),"Simon Sandman")</f>
        <v>Simon Sandman</v>
      </c>
      <c r="E16" s="5" t="str">
        <f>IFERROR(__xludf.DUMMYFUNCTION("""COMPUTED_VALUE"""),"Sweden")</f>
        <v>Sweden</v>
      </c>
      <c r="F16" s="5" t="str">
        <f>IFERROR(__xludf.DUMMYFUNCTION("""COMPUTED_VALUE"""),"BMW E36")</f>
        <v>BMW E36</v>
      </c>
      <c r="G16" s="42">
        <f>IFERROR(__xludf.DUMMYFUNCTION("""COMPUTED_VALUE"""),73.0)</f>
        <v>73</v>
      </c>
      <c r="H16" s="42">
        <f>IFERROR(__xludf.DUMMYFUNCTION("""COMPUTED_VALUE"""),82.0)</f>
        <v>82</v>
      </c>
      <c r="I16" s="42">
        <f>IFERROR(__xludf.DUMMYFUNCTION("""COMPUTED_VALUE"""),82.0073)</f>
        <v>82.0073</v>
      </c>
      <c r="J16" s="45">
        <f>IFERROR(__xludf.DUMMYFUNCTION("""COMPUTED_VALUE"""),73.0)</f>
        <v>73</v>
      </c>
      <c r="K16" s="46">
        <f>IFERROR(__xludf.DUMMYFUNCTION("""COMPUTED_VALUE"""),1.0)</f>
        <v>1</v>
      </c>
      <c r="L16" s="42" t="str">
        <f>IFERROR(__xludf.DUMMYFUNCTION("""COMPUTED_VALUE"""),"TEAM AWAKE")</f>
        <v>TEAM AWAKE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2"/>
      <c r="B17" s="83">
        <f>IFERROR(__xludf.DUMMYFUNCTION("""COMPUTED_VALUE"""),15.0)</f>
        <v>15</v>
      </c>
      <c r="C17" s="83">
        <f>IFERROR(__xludf.DUMMYFUNCTION("""COMPUTED_VALUE"""),65.0)</f>
        <v>65</v>
      </c>
      <c r="D17" s="83" t="str">
        <f>IFERROR(__xludf.DUMMYFUNCTION("""COMPUTED_VALUE"""),"Juuso Järvenpää")</f>
        <v>Juuso Järvenpää</v>
      </c>
      <c r="E17" s="83" t="str">
        <f>IFERROR(__xludf.DUMMYFUNCTION("""COMPUTED_VALUE"""),"Finland")</f>
        <v>Finland</v>
      </c>
      <c r="F17" s="83" t="str">
        <f>IFERROR(__xludf.DUMMYFUNCTION("""COMPUTED_VALUE"""),"BMW E36")</f>
        <v>BMW E36</v>
      </c>
      <c r="G17" s="84">
        <f>IFERROR(__xludf.DUMMYFUNCTION("""COMPUTED_VALUE"""),70.0)</f>
        <v>70</v>
      </c>
      <c r="H17" s="84">
        <f>IFERROR(__xludf.DUMMYFUNCTION("""COMPUTED_VALUE"""),82.0)</f>
        <v>82</v>
      </c>
      <c r="I17" s="84">
        <f>IFERROR(__xludf.DUMMYFUNCTION("""COMPUTED_VALUE"""),82.007)</f>
        <v>82.007</v>
      </c>
      <c r="J17" s="86">
        <f>IFERROR(__xludf.DUMMYFUNCTION("""COMPUTED_VALUE"""),70.0)</f>
        <v>70</v>
      </c>
      <c r="K17" s="87">
        <f>IFERROR(__xludf.DUMMYFUNCTION("""COMPUTED_VALUE"""),1.0)</f>
        <v>1</v>
      </c>
      <c r="L17" s="84" t="str">
        <f>IFERROR(__xludf.DUMMYFUNCTION("""COMPUTED_VALUE"""),"Martat Racing")</f>
        <v>Martat Racing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2"/>
      <c r="B18" s="5">
        <f>IFERROR(__xludf.DUMMYFUNCTION("""COMPUTED_VALUE"""),16.0)</f>
        <v>16</v>
      </c>
      <c r="C18" s="5">
        <f>IFERROR(__xludf.DUMMYFUNCTION("""COMPUTED_VALUE"""),111.0)</f>
        <v>111</v>
      </c>
      <c r="D18" s="5" t="str">
        <f>IFERROR(__xludf.DUMMYFUNCTION("""COMPUTED_VALUE"""),"Zydrunas Petkevicius")</f>
        <v>Zydrunas Petkevicius</v>
      </c>
      <c r="E18" s="5" t="str">
        <f>IFERROR(__xludf.DUMMYFUNCTION("""COMPUTED_VALUE"""),"Norway")</f>
        <v>Norway</v>
      </c>
      <c r="F18" s="5" t="str">
        <f>IFERROR(__xludf.DUMMYFUNCTION("""COMPUTED_VALUE"""),"BMW E36")</f>
        <v>BMW E36</v>
      </c>
      <c r="G18" s="42">
        <f>IFERROR(__xludf.DUMMYFUNCTION("""COMPUTED_VALUE"""),0.0)</f>
        <v>0</v>
      </c>
      <c r="H18" s="42">
        <f>IFERROR(__xludf.DUMMYFUNCTION("""COMPUTED_VALUE"""),82.0)</f>
        <v>82</v>
      </c>
      <c r="I18" s="42">
        <f>IFERROR(__xludf.DUMMYFUNCTION("""COMPUTED_VALUE"""),82.0)</f>
        <v>82</v>
      </c>
      <c r="J18" s="45">
        <f>IFERROR(__xludf.DUMMYFUNCTION("""COMPUTED_VALUE"""),0.0)</f>
        <v>0</v>
      </c>
      <c r="K18" s="46">
        <f>IFERROR(__xludf.DUMMYFUNCTION("""COMPUTED_VALUE"""),1.0)</f>
        <v>1</v>
      </c>
      <c r="L18" s="42" t="str">
        <f>IFERROR(__xludf.DUMMYFUNCTION("""COMPUTED_VALUE"""),"NDC")</f>
        <v>NDC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>
      <c r="A19" s="2"/>
      <c r="B19" s="28">
        <f>IFERROR(__xludf.DUMMYFUNCTION("""COMPUTED_VALUE"""),17.0)</f>
        <v>17</v>
      </c>
      <c r="C19" s="28">
        <f>IFERROR(__xludf.DUMMYFUNCTION("""COMPUTED_VALUE"""),666.0)</f>
        <v>666</v>
      </c>
      <c r="D19" s="28" t="str">
        <f>IFERROR(__xludf.DUMMYFUNCTION("""COMPUTED_VALUE"""),"Ritums Jēkabsons")</f>
        <v>Ritums Jēkabsons</v>
      </c>
      <c r="E19" s="28" t="str">
        <f>IFERROR(__xludf.DUMMYFUNCTION("""COMPUTED_VALUE"""),"Latvia")</f>
        <v>Latvia</v>
      </c>
      <c r="F19" s="28" t="str">
        <f>IFERROR(__xludf.DUMMYFUNCTION("""COMPUTED_VALUE"""),"BMW E36")</f>
        <v>BMW E36</v>
      </c>
      <c r="G19" s="31">
        <f>IFERROR(__xludf.DUMMYFUNCTION("""COMPUTED_VALUE"""),81.0)</f>
        <v>81</v>
      </c>
      <c r="H19" s="31">
        <f>IFERROR(__xludf.DUMMYFUNCTION("""COMPUTED_VALUE"""),79.0)</f>
        <v>79</v>
      </c>
      <c r="I19" s="31">
        <f>IFERROR(__xludf.DUMMYFUNCTION("""COMPUTED_VALUE"""),81.0079)</f>
        <v>81.0079</v>
      </c>
      <c r="J19" s="34">
        <f>IFERROR(__xludf.DUMMYFUNCTION("""COMPUTED_VALUE"""),79.0)</f>
        <v>79</v>
      </c>
      <c r="K19" s="36">
        <f>IFERROR(__xludf.DUMMYFUNCTION("""COMPUTED_VALUE"""),0.5)</f>
        <v>0.5</v>
      </c>
      <c r="L19" s="31" t="str">
        <f>IFERROR(__xludf.DUMMYFUNCTION("""COMPUTED_VALUE"""),"Drifta halle")</f>
        <v>Drifta halle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>
      <c r="A20" s="2"/>
      <c r="B20" s="5">
        <f>IFERROR(__xludf.DUMMYFUNCTION("""COMPUTED_VALUE"""),18.0)</f>
        <v>18</v>
      </c>
      <c r="C20" s="5">
        <f>IFERROR(__xludf.DUMMYFUNCTION("""COMPUTED_VALUE"""),444.0)</f>
        <v>444</v>
      </c>
      <c r="D20" s="5" t="str">
        <f>IFERROR(__xludf.DUMMYFUNCTION("""COMPUTED_VALUE"""),"Wojciech Denis")</f>
        <v>Wojciech Denis</v>
      </c>
      <c r="E20" s="5" t="str">
        <f>IFERROR(__xludf.DUMMYFUNCTION("""COMPUTED_VALUE"""),"Poland")</f>
        <v>Poland</v>
      </c>
      <c r="F20" s="5" t="str">
        <f>IFERROR(__xludf.DUMMYFUNCTION("""COMPUTED_VALUE"""),"BMW E36")</f>
        <v>BMW E36</v>
      </c>
      <c r="G20" s="42">
        <f>IFERROR(__xludf.DUMMYFUNCTION("""COMPUTED_VALUE"""),78.0)</f>
        <v>78</v>
      </c>
      <c r="H20" s="42">
        <f>IFERROR(__xludf.DUMMYFUNCTION("""COMPUTED_VALUE"""),80.0)</f>
        <v>80</v>
      </c>
      <c r="I20" s="42">
        <f>IFERROR(__xludf.DUMMYFUNCTION("""COMPUTED_VALUE"""),80.0078)</f>
        <v>80.0078</v>
      </c>
      <c r="J20" s="45">
        <f>IFERROR(__xludf.DUMMYFUNCTION("""COMPUTED_VALUE"""),78.0)</f>
        <v>78</v>
      </c>
      <c r="K20" s="46">
        <f>IFERROR(__xludf.DUMMYFUNCTION("""COMPUTED_VALUE"""),0.5)</f>
        <v>0.5</v>
      </c>
      <c r="L20" s="42" t="str">
        <f>IFERROR(__xludf.DUMMYFUNCTION("""COMPUTED_VALUE"""),"Team Delta Infinite")</f>
        <v>Team Delta Infinite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>
      <c r="A21" s="2"/>
      <c r="B21" s="28">
        <f>IFERROR(__xludf.DUMMYFUNCTION("""COMPUTED_VALUE"""),19.0)</f>
        <v>19</v>
      </c>
      <c r="C21" s="28">
        <f>IFERROR(__xludf.DUMMYFUNCTION("""COMPUTED_VALUE"""),99.0)</f>
        <v>99</v>
      </c>
      <c r="D21" s="28" t="str">
        <f>IFERROR(__xludf.DUMMYFUNCTION("""COMPUTED_VALUE"""),"Oihan Polo")</f>
        <v>Oihan Polo</v>
      </c>
      <c r="E21" s="28" t="str">
        <f>IFERROR(__xludf.DUMMYFUNCTION("""COMPUTED_VALUE"""),"Spain")</f>
        <v>Spain</v>
      </c>
      <c r="F21" s="28" t="str">
        <f>IFERROR(__xludf.DUMMYFUNCTION("""COMPUTED_VALUE"""),"BMW E36")</f>
        <v>BMW E36</v>
      </c>
      <c r="G21" s="31">
        <f>IFERROR(__xludf.DUMMYFUNCTION("""COMPUTED_VALUE"""),80.0)</f>
        <v>80</v>
      </c>
      <c r="H21" s="31">
        <f>IFERROR(__xludf.DUMMYFUNCTION("""COMPUTED_VALUE"""),71.0)</f>
        <v>71</v>
      </c>
      <c r="I21" s="31">
        <f>IFERROR(__xludf.DUMMYFUNCTION("""COMPUTED_VALUE"""),80.0071)</f>
        <v>80.0071</v>
      </c>
      <c r="J21" s="34">
        <f>IFERROR(__xludf.DUMMYFUNCTION("""COMPUTED_VALUE"""),71.0)</f>
        <v>71</v>
      </c>
      <c r="K21" s="36">
        <f>IFERROR(__xludf.DUMMYFUNCTION("""COMPUTED_VALUE"""),0.5)</f>
        <v>0.5</v>
      </c>
      <c r="L21" s="31" t="str">
        <f>IFERROR(__xludf.DUMMYFUNCTION("""COMPUTED_VALUE"""),"Eskuko Black")</f>
        <v>Eskuko Black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>
      <c r="A22" s="2"/>
      <c r="B22" s="5">
        <f>IFERROR(__xludf.DUMMYFUNCTION("""COMPUTED_VALUE"""),20.0)</f>
        <v>20</v>
      </c>
      <c r="C22" s="5">
        <f>IFERROR(__xludf.DUMMYFUNCTION("""COMPUTED_VALUE"""),13.0)</f>
        <v>13</v>
      </c>
      <c r="D22" s="5" t="str">
        <f>IFERROR(__xludf.DUMMYFUNCTION("""COMPUTED_VALUE"""),"Fredrik Blokhus")</f>
        <v>Fredrik Blokhus</v>
      </c>
      <c r="E22" s="5" t="str">
        <f>IFERROR(__xludf.DUMMYFUNCTION("""COMPUTED_VALUE"""),"Norway")</f>
        <v>Norway</v>
      </c>
      <c r="F22" s="5" t="str">
        <f>IFERROR(__xludf.DUMMYFUNCTION("""COMPUTED_VALUE"""),"BMW E36")</f>
        <v>BMW E36</v>
      </c>
      <c r="G22" s="42">
        <f>IFERROR(__xludf.DUMMYFUNCTION("""COMPUTED_VALUE"""),70.0)</f>
        <v>70</v>
      </c>
      <c r="H22" s="42">
        <f>IFERROR(__xludf.DUMMYFUNCTION("""COMPUTED_VALUE"""),80.0)</f>
        <v>80</v>
      </c>
      <c r="I22" s="42">
        <f>IFERROR(__xludf.DUMMYFUNCTION("""COMPUTED_VALUE"""),80.007)</f>
        <v>80.007</v>
      </c>
      <c r="J22" s="45">
        <f>IFERROR(__xludf.DUMMYFUNCTION("""COMPUTED_VALUE"""),70.0)</f>
        <v>70</v>
      </c>
      <c r="K22" s="46">
        <f>IFERROR(__xludf.DUMMYFUNCTION("""COMPUTED_VALUE"""),0.5)</f>
        <v>0.5</v>
      </c>
      <c r="L22" s="42" t="str">
        <f>IFERROR(__xludf.DUMMYFUNCTION("""COMPUTED_VALUE"""),"Clutch This!")</f>
        <v>Clutch This!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>
      <c r="A23" s="2"/>
      <c r="B23" s="28">
        <f>IFERROR(__xludf.DUMMYFUNCTION("""COMPUTED_VALUE"""),21.0)</f>
        <v>21</v>
      </c>
      <c r="C23" s="28">
        <f>IFERROR(__xludf.DUMMYFUNCTION("""COMPUTED_VALUE"""),117.0)</f>
        <v>117</v>
      </c>
      <c r="D23" s="28" t="str">
        <f>IFERROR(__xludf.DUMMYFUNCTION("""COMPUTED_VALUE"""),"Liliana Lang")</f>
        <v>Liliana Lang</v>
      </c>
      <c r="E23" s="28" t="str">
        <f>IFERROR(__xludf.DUMMYFUNCTION("""COMPUTED_VALUE"""),"Austria")</f>
        <v>Austria</v>
      </c>
      <c r="F23" s="28" t="str">
        <f>IFERROR(__xludf.DUMMYFUNCTION("""COMPUTED_VALUE"""),"BMW E36")</f>
        <v>BMW E36</v>
      </c>
      <c r="G23" s="31">
        <f>IFERROR(__xludf.DUMMYFUNCTION("""COMPUTED_VALUE"""),72.0)</f>
        <v>72</v>
      </c>
      <c r="H23" s="31">
        <f>IFERROR(__xludf.DUMMYFUNCTION("""COMPUTED_VALUE"""),79.0)</f>
        <v>79</v>
      </c>
      <c r="I23" s="31">
        <f>IFERROR(__xludf.DUMMYFUNCTION("""COMPUTED_VALUE"""),79.0072)</f>
        <v>79.0072</v>
      </c>
      <c r="J23" s="34">
        <f>IFERROR(__xludf.DUMMYFUNCTION("""COMPUTED_VALUE"""),72.0)</f>
        <v>72</v>
      </c>
      <c r="K23" s="36">
        <f>IFERROR(__xludf.DUMMYFUNCTION("""COMPUTED_VALUE"""),0.5)</f>
        <v>0.5</v>
      </c>
      <c r="L23" s="31" t="str">
        <f>IFERROR(__xludf.DUMMYFUNCTION("""COMPUTED_VALUE"""),"Trap House")</f>
        <v>Trap House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>
      <c r="A24" s="2"/>
      <c r="B24" s="5">
        <f>IFERROR(__xludf.DUMMYFUNCTION("""COMPUTED_VALUE"""),22.0)</f>
        <v>22</v>
      </c>
      <c r="C24" s="5">
        <f>IFERROR(__xludf.DUMMYFUNCTION("""COMPUTED_VALUE"""),48.0)</f>
        <v>48</v>
      </c>
      <c r="D24" s="5" t="str">
        <f>IFERROR(__xludf.DUMMYFUNCTION("""COMPUTED_VALUE"""),"Mantas Savickas")</f>
        <v>Mantas Savickas</v>
      </c>
      <c r="E24" s="5" t="str">
        <f>IFERROR(__xludf.DUMMYFUNCTION("""COMPUTED_VALUE"""),"Lithuania")</f>
        <v>Lithuania</v>
      </c>
      <c r="F24" s="5" t="str">
        <f>IFERROR(__xludf.DUMMYFUNCTION("""COMPUTED_VALUE"""),"BMW E36")</f>
        <v>BMW E36</v>
      </c>
      <c r="G24" s="42">
        <f>IFERROR(__xludf.DUMMYFUNCTION("""COMPUTED_VALUE"""),79.0)</f>
        <v>79</v>
      </c>
      <c r="H24" s="42">
        <f>IFERROR(__xludf.DUMMYFUNCTION("""COMPUTED_VALUE"""),58.0)</f>
        <v>58</v>
      </c>
      <c r="I24" s="42">
        <f>IFERROR(__xludf.DUMMYFUNCTION("""COMPUTED_VALUE"""),79.0058)</f>
        <v>79.0058</v>
      </c>
      <c r="J24" s="45">
        <f>IFERROR(__xludf.DUMMYFUNCTION("""COMPUTED_VALUE"""),58.0)</f>
        <v>58</v>
      </c>
      <c r="K24" s="46">
        <f>IFERROR(__xludf.DUMMYFUNCTION("""COMPUTED_VALUE"""),0.5)</f>
        <v>0.5</v>
      </c>
      <c r="L24" s="4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>
      <c r="A25" s="2"/>
      <c r="B25" s="28">
        <f>IFERROR(__xludf.DUMMYFUNCTION("""COMPUTED_VALUE"""),23.0)</f>
        <v>23</v>
      </c>
      <c r="C25" s="28">
        <f>IFERROR(__xludf.DUMMYFUNCTION("""COMPUTED_VALUE"""),222.0)</f>
        <v>222</v>
      </c>
      <c r="D25" s="28" t="str">
        <f>IFERROR(__xludf.DUMMYFUNCTION("""COMPUTED_VALUE"""),"Edvinas Murauskas")</f>
        <v>Edvinas Murauskas</v>
      </c>
      <c r="E25" s="28" t="str">
        <f>IFERROR(__xludf.DUMMYFUNCTION("""COMPUTED_VALUE"""),"Lithuania")</f>
        <v>Lithuania</v>
      </c>
      <c r="F25" s="28" t="str">
        <f>IFERROR(__xludf.DUMMYFUNCTION("""COMPUTED_VALUE"""),"BMW E46")</f>
        <v>BMW E46</v>
      </c>
      <c r="G25" s="31">
        <f>IFERROR(__xludf.DUMMYFUNCTION("""COMPUTED_VALUE"""),77.0)</f>
        <v>77</v>
      </c>
      <c r="H25" s="31">
        <f>IFERROR(__xludf.DUMMYFUNCTION("""COMPUTED_VALUE"""),78.0)</f>
        <v>78</v>
      </c>
      <c r="I25" s="31">
        <f>IFERROR(__xludf.DUMMYFUNCTION("""COMPUTED_VALUE"""),78.0077)</f>
        <v>78.0077</v>
      </c>
      <c r="J25" s="34">
        <f>IFERROR(__xludf.DUMMYFUNCTION("""COMPUTED_VALUE"""),77.0)</f>
        <v>77</v>
      </c>
      <c r="K25" s="36">
        <f>IFERROR(__xludf.DUMMYFUNCTION("""COMPUTED_VALUE"""),0.5)</f>
        <v>0.5</v>
      </c>
      <c r="L25" s="31" t="str">
        <f>IFERROR(__xludf.DUMMYFUNCTION("""COMPUTED_VALUE"""),"Lock 2 lock (l2l)")</f>
        <v>Lock 2 lock (l2l)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>
      <c r="A26" s="2"/>
      <c r="B26" s="5">
        <f>IFERROR(__xludf.DUMMYFUNCTION("""COMPUTED_VALUE"""),24.0)</f>
        <v>24</v>
      </c>
      <c r="C26" s="5">
        <f>IFERROR(__xludf.DUMMYFUNCTION("""COMPUTED_VALUE"""),19.0)</f>
        <v>19</v>
      </c>
      <c r="D26" s="5" t="str">
        <f>IFERROR(__xludf.DUMMYFUNCTION("""COMPUTED_VALUE"""),"Miłosz Gawin")</f>
        <v>Miłosz Gawin</v>
      </c>
      <c r="E26" s="5" t="str">
        <f>IFERROR(__xludf.DUMMYFUNCTION("""COMPUTED_VALUE"""),"Poland")</f>
        <v>Poland</v>
      </c>
      <c r="F26" s="5" t="str">
        <f>IFERROR(__xludf.DUMMYFUNCTION("""COMPUTED_VALUE"""),"BMW E36")</f>
        <v>BMW E36</v>
      </c>
      <c r="G26" s="42">
        <f>IFERROR(__xludf.DUMMYFUNCTION("""COMPUTED_VALUE"""),67.0)</f>
        <v>67</v>
      </c>
      <c r="H26" s="42">
        <f>IFERROR(__xludf.DUMMYFUNCTION("""COMPUTED_VALUE"""),77.0)</f>
        <v>77</v>
      </c>
      <c r="I26" s="42">
        <f>IFERROR(__xludf.DUMMYFUNCTION("""COMPUTED_VALUE"""),77.0067)</f>
        <v>77.0067</v>
      </c>
      <c r="J26" s="45">
        <f>IFERROR(__xludf.DUMMYFUNCTION("""COMPUTED_VALUE"""),67.0)</f>
        <v>67</v>
      </c>
      <c r="K26" s="46">
        <f>IFERROR(__xludf.DUMMYFUNCTION("""COMPUTED_VALUE"""),0.5)</f>
        <v>0.5</v>
      </c>
      <c r="L26" s="42" t="str">
        <f>IFERROR(__xludf.DUMMYFUNCTION("""COMPUTED_VALUE"""),"Team Delta Infinite")</f>
        <v>Team Delta Infinite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>
      <c r="A27" s="2"/>
      <c r="B27" s="83">
        <f>IFERROR(__xludf.DUMMYFUNCTION("""COMPUTED_VALUE"""),25.0)</f>
        <v>25</v>
      </c>
      <c r="C27" s="83">
        <f>IFERROR(__xludf.DUMMYFUNCTION("""COMPUTED_VALUE"""),743.0)</f>
        <v>743</v>
      </c>
      <c r="D27" s="83" t="str">
        <f>IFERROR(__xludf.DUMMYFUNCTION("""COMPUTED_VALUE"""),"Danielis Soltysiakas")</f>
        <v>Danielis Soltysiakas</v>
      </c>
      <c r="E27" s="83" t="str">
        <f>IFERROR(__xludf.DUMMYFUNCTION("""COMPUTED_VALUE"""),"Lithuania")</f>
        <v>Lithuania</v>
      </c>
      <c r="F27" s="83" t="str">
        <f>IFERROR(__xludf.DUMMYFUNCTION("""COMPUTED_VALUE"""),"BMW E46")</f>
        <v>BMW E46</v>
      </c>
      <c r="G27" s="84">
        <f>IFERROR(__xludf.DUMMYFUNCTION("""COMPUTED_VALUE"""),74.0)</f>
        <v>74</v>
      </c>
      <c r="H27" s="84">
        <f>IFERROR(__xludf.DUMMYFUNCTION("""COMPUTED_VALUE"""),64.0)</f>
        <v>64</v>
      </c>
      <c r="I27" s="84">
        <f>IFERROR(__xludf.DUMMYFUNCTION("""COMPUTED_VALUE"""),74.0064)</f>
        <v>74.0064</v>
      </c>
      <c r="J27" s="86">
        <f>IFERROR(__xludf.DUMMYFUNCTION("""COMPUTED_VALUE"""),64.0)</f>
        <v>64</v>
      </c>
      <c r="K27" s="87">
        <f>IFERROR(__xludf.DUMMYFUNCTION("""COMPUTED_VALUE"""),0.25)</f>
        <v>0.25</v>
      </c>
      <c r="L27" s="84" t="str">
        <f>IFERROR(__xludf.DUMMYFUNCTION("""COMPUTED_VALUE"""),"NiekoTokio")</f>
        <v>NiekoTokio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>
      <c r="A28" s="2"/>
      <c r="B28" s="5">
        <f>IFERROR(__xludf.DUMMYFUNCTION("""COMPUTED_VALUE"""),26.0)</f>
        <v>26</v>
      </c>
      <c r="C28" s="5">
        <f>IFERROR(__xludf.DUMMYFUNCTION("""COMPUTED_VALUE"""),78.0)</f>
        <v>78</v>
      </c>
      <c r="D28" s="5" t="str">
        <f>IFERROR(__xludf.DUMMYFUNCTION("""COMPUTED_VALUE"""),"William Diaz-Santiago")</f>
        <v>William Diaz-Santiago</v>
      </c>
      <c r="E28" s="5" t="str">
        <f>IFERROR(__xludf.DUMMYFUNCTION("""COMPUTED_VALUE"""),"United States")</f>
        <v>United States</v>
      </c>
      <c r="F28" s="5" t="str">
        <f>IFERROR(__xludf.DUMMYFUNCTION("""COMPUTED_VALUE"""),"BMW E46")</f>
        <v>BMW E46</v>
      </c>
      <c r="G28" s="42">
        <f>IFERROR(__xludf.DUMMYFUNCTION("""COMPUTED_VALUE"""),0.0)</f>
        <v>0</v>
      </c>
      <c r="H28" s="42">
        <f>IFERROR(__xludf.DUMMYFUNCTION("""COMPUTED_VALUE"""),74.0)</f>
        <v>74</v>
      </c>
      <c r="I28" s="42">
        <f>IFERROR(__xludf.DUMMYFUNCTION("""COMPUTED_VALUE"""),74.0)</f>
        <v>74</v>
      </c>
      <c r="J28" s="45">
        <f>IFERROR(__xludf.DUMMYFUNCTION("""COMPUTED_VALUE"""),0.0)</f>
        <v>0</v>
      </c>
      <c r="K28" s="46">
        <f>IFERROR(__xludf.DUMMYFUNCTION("""COMPUTED_VALUE"""),0.25)</f>
        <v>0.25</v>
      </c>
      <c r="L28" s="42" t="str">
        <f>IFERROR(__xludf.DUMMYFUNCTION("""COMPUTED_VALUE"""),"Evolution of Drift")</f>
        <v>Evolution of Drift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>
      <c r="A29" s="2"/>
      <c r="B29" s="83">
        <f>IFERROR(__xludf.DUMMYFUNCTION("""COMPUTED_VALUE"""),27.0)</f>
        <v>27</v>
      </c>
      <c r="C29" s="83">
        <f>IFERROR(__xludf.DUMMYFUNCTION("""COMPUTED_VALUE"""),507.0)</f>
        <v>507</v>
      </c>
      <c r="D29" s="83" t="str">
        <f>IFERROR(__xludf.DUMMYFUNCTION("""COMPUTED_VALUE"""),"Alexander skok Jensen")</f>
        <v>Alexander skok Jensen</v>
      </c>
      <c r="E29" s="83" t="str">
        <f>IFERROR(__xludf.DUMMYFUNCTION("""COMPUTED_VALUE"""),"Denmark")</f>
        <v>Denmark</v>
      </c>
      <c r="F29" s="83" t="str">
        <f>IFERROR(__xludf.DUMMYFUNCTION("""COMPUTED_VALUE"""),"BMW E36")</f>
        <v>BMW E36</v>
      </c>
      <c r="G29" s="84">
        <f>IFERROR(__xludf.DUMMYFUNCTION("""COMPUTED_VALUE"""),73.0)</f>
        <v>73</v>
      </c>
      <c r="H29" s="84">
        <f>IFERROR(__xludf.DUMMYFUNCTION("""COMPUTED_VALUE"""),67.0)</f>
        <v>67</v>
      </c>
      <c r="I29" s="84">
        <f>IFERROR(__xludf.DUMMYFUNCTION("""COMPUTED_VALUE"""),73.0067)</f>
        <v>73.0067</v>
      </c>
      <c r="J29" s="86">
        <f>IFERROR(__xludf.DUMMYFUNCTION("""COMPUTED_VALUE"""),67.0)</f>
        <v>67</v>
      </c>
      <c r="K29" s="87">
        <f>IFERROR(__xludf.DUMMYFUNCTION("""COMPUTED_VALUE"""),0.25)</f>
        <v>0.25</v>
      </c>
      <c r="L29" s="8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>
      <c r="A30" s="2"/>
      <c r="B30" s="5">
        <f>IFERROR(__xludf.DUMMYFUNCTION("""COMPUTED_VALUE"""),28.0)</f>
        <v>28</v>
      </c>
      <c r="C30" s="5">
        <f>IFERROR(__xludf.DUMMYFUNCTION("""COMPUTED_VALUE"""),4.0)</f>
        <v>4</v>
      </c>
      <c r="D30" s="5" t="str">
        <f>IFERROR(__xludf.DUMMYFUNCTION("""COMPUTED_VALUE"""),"Paweł Kałużka")</f>
        <v>Paweł Kałużka</v>
      </c>
      <c r="E30" s="5" t="str">
        <f>IFERROR(__xludf.DUMMYFUNCTION("""COMPUTED_VALUE"""),"Poland")</f>
        <v>Poland</v>
      </c>
      <c r="F30" s="5" t="str">
        <f>IFERROR(__xludf.DUMMYFUNCTION("""COMPUTED_VALUE"""),"BMW E36")</f>
        <v>BMW E36</v>
      </c>
      <c r="G30" s="42">
        <f>IFERROR(__xludf.DUMMYFUNCTION("""COMPUTED_VALUE"""),72.0)</f>
        <v>72</v>
      </c>
      <c r="H30" s="42">
        <f>IFERROR(__xludf.DUMMYFUNCTION("""COMPUTED_VALUE"""),71.0)</f>
        <v>71</v>
      </c>
      <c r="I30" s="42">
        <f>IFERROR(__xludf.DUMMYFUNCTION("""COMPUTED_VALUE"""),72.0071)</f>
        <v>72.0071</v>
      </c>
      <c r="J30" s="45">
        <f>IFERROR(__xludf.DUMMYFUNCTION("""COMPUTED_VALUE"""),71.0)</f>
        <v>71</v>
      </c>
      <c r="K30" s="46">
        <f>IFERROR(__xludf.DUMMYFUNCTION("""COMPUTED_VALUE"""),0.25)</f>
        <v>0.25</v>
      </c>
      <c r="L30" s="42"/>
      <c r="M30" s="56"/>
      <c r="N30" s="56"/>
      <c r="O30" s="56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>
      <c r="A31" s="2"/>
      <c r="B31" s="83">
        <f>IFERROR(__xludf.DUMMYFUNCTION("""COMPUTED_VALUE"""),29.0)</f>
        <v>29</v>
      </c>
      <c r="C31" s="83">
        <f>IFERROR(__xludf.DUMMYFUNCTION("""COMPUTED_VALUE"""),808.0)</f>
        <v>808</v>
      </c>
      <c r="D31" s="83" t="str">
        <f>IFERROR(__xludf.DUMMYFUNCTION("""COMPUTED_VALUE"""),"Dima Baydin")</f>
        <v>Dima Baydin</v>
      </c>
      <c r="E31" s="83" t="str">
        <f>IFERROR(__xludf.DUMMYFUNCTION("""COMPUTED_VALUE"""),"Kazakhstan")</f>
        <v>Kazakhstan</v>
      </c>
      <c r="F31" s="83" t="str">
        <f>IFERROR(__xludf.DUMMYFUNCTION("""COMPUTED_VALUE"""),"BMW E36")</f>
        <v>BMW E36</v>
      </c>
      <c r="G31" s="84">
        <f>IFERROR(__xludf.DUMMYFUNCTION("""COMPUTED_VALUE"""),0.0)</f>
        <v>0</v>
      </c>
      <c r="H31" s="84">
        <f>IFERROR(__xludf.DUMMYFUNCTION("""COMPUTED_VALUE"""),72.0)</f>
        <v>72</v>
      </c>
      <c r="I31" s="84">
        <f>IFERROR(__xludf.DUMMYFUNCTION("""COMPUTED_VALUE"""),72.0)</f>
        <v>72</v>
      </c>
      <c r="J31" s="86">
        <f>IFERROR(__xludf.DUMMYFUNCTION("""COMPUTED_VALUE"""),0.0)</f>
        <v>0</v>
      </c>
      <c r="K31" s="87">
        <f>IFERROR(__xludf.DUMMYFUNCTION("""COMPUTED_VALUE"""),0.25)</f>
        <v>0.25</v>
      </c>
      <c r="L31" s="84" t="str">
        <f>IFERROR(__xludf.DUMMYFUNCTION("""COMPUTED_VALUE"""),"Ackerman")</f>
        <v>Ackerman</v>
      </c>
      <c r="M31" s="96" t="str">
        <f>IFERROR(__xludf.DUMMYFUNCTION("importrange(""186BTcLZIRRmcGcU5S6nDdN41SUH8zUJ1gFEIezWrRnQ"",""'quali top'!M31:o34"")"),"Drop out zone")</f>
        <v>Drop out zone</v>
      </c>
      <c r="O31" s="9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>
      <c r="A32" s="2"/>
      <c r="B32" s="5">
        <f>IFERROR(__xludf.DUMMYFUNCTION("""COMPUTED_VALUE"""),30.0)</f>
        <v>30</v>
      </c>
      <c r="C32" s="5">
        <f>IFERROR(__xludf.DUMMYFUNCTION("""COMPUTED_VALUE"""),88.0)</f>
        <v>88</v>
      </c>
      <c r="D32" s="5" t="str">
        <f>IFERROR(__xludf.DUMMYFUNCTION("""COMPUTED_VALUE"""),"Daniel Kvasha")</f>
        <v>Daniel Kvasha</v>
      </c>
      <c r="E32" s="5" t="str">
        <f>IFERROR(__xludf.DUMMYFUNCTION("""COMPUTED_VALUE"""),"Israel")</f>
        <v>Israel</v>
      </c>
      <c r="F32" s="5" t="str">
        <f>IFERROR(__xludf.DUMMYFUNCTION("""COMPUTED_VALUE"""),"BMW E36")</f>
        <v>BMW E36</v>
      </c>
      <c r="G32" s="42">
        <f>IFERROR(__xludf.DUMMYFUNCTION("""COMPUTED_VALUE"""),67.0)</f>
        <v>67</v>
      </c>
      <c r="H32" s="42">
        <f>IFERROR(__xludf.DUMMYFUNCTION("""COMPUTED_VALUE"""),71.0)</f>
        <v>71</v>
      </c>
      <c r="I32" s="42">
        <f>IFERROR(__xludf.DUMMYFUNCTION("""COMPUTED_VALUE"""),71.0067)</f>
        <v>71.0067</v>
      </c>
      <c r="J32" s="45">
        <f>IFERROR(__xludf.DUMMYFUNCTION("""COMPUTED_VALUE"""),67.0)</f>
        <v>67</v>
      </c>
      <c r="K32" s="46">
        <f>IFERROR(__xludf.DUMMYFUNCTION("""COMPUTED_VALUE"""),0.25)</f>
        <v>0.25</v>
      </c>
      <c r="L32" s="42" t="str">
        <f>IFERROR(__xludf.DUMMYFUNCTION("""COMPUTED_VALUE"""),"EDF")</f>
        <v>EDF</v>
      </c>
      <c r="M32" s="73"/>
      <c r="N32" s="73"/>
      <c r="O32" s="98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>
      <c r="A33" s="2"/>
      <c r="B33" s="83">
        <f>IFERROR(__xludf.DUMMYFUNCTION("""COMPUTED_VALUE"""),31.0)</f>
        <v>31</v>
      </c>
      <c r="C33" s="83">
        <f>IFERROR(__xludf.DUMMYFUNCTION("""COMPUTED_VALUE"""),9.0)</f>
        <v>9</v>
      </c>
      <c r="D33" s="83" t="str">
        <f>IFERROR(__xludf.DUMMYFUNCTION("""COMPUTED_VALUE"""),"Benas Jonutis")</f>
        <v>Benas Jonutis</v>
      </c>
      <c r="E33" s="83" t="str">
        <f>IFERROR(__xludf.DUMMYFUNCTION("""COMPUTED_VALUE"""),"Lithuania")</f>
        <v>Lithuania</v>
      </c>
      <c r="F33" s="83" t="str">
        <f>IFERROR(__xludf.DUMMYFUNCTION("""COMPUTED_VALUE"""),"BMW E36")</f>
        <v>BMW E36</v>
      </c>
      <c r="G33" s="84">
        <f>IFERROR(__xludf.DUMMYFUNCTION("""COMPUTED_VALUE"""),70.0)</f>
        <v>70</v>
      </c>
      <c r="H33" s="84">
        <f>IFERROR(__xludf.DUMMYFUNCTION("""COMPUTED_VALUE"""),70.0)</f>
        <v>70</v>
      </c>
      <c r="I33" s="84">
        <f>IFERROR(__xludf.DUMMYFUNCTION("""COMPUTED_VALUE"""),70.007)</f>
        <v>70.007</v>
      </c>
      <c r="J33" s="86">
        <f>IFERROR(__xludf.DUMMYFUNCTION("""COMPUTED_VALUE"""),70.0)</f>
        <v>70</v>
      </c>
      <c r="K33" s="87">
        <f>IFERROR(__xludf.DUMMYFUNCTION("""COMPUTED_VALUE"""),0.25)</f>
        <v>0.25</v>
      </c>
      <c r="L33" s="84" t="str">
        <f>IFERROR(__xludf.DUMMYFUNCTION("""COMPUTED_VALUE"""),"niekotokio")</f>
        <v>niekotokio</v>
      </c>
      <c r="M33" s="99" t="str">
        <f>IFERROR(__xludf.DUMMYFUNCTION("""COMPUTED_VALUE"""),"Auto nr.")</f>
        <v>Auto nr.</v>
      </c>
      <c r="N33" s="99" t="str">
        <f>IFERROR(__xludf.DUMMYFUNCTION("""COMPUTED_VALUE"""),"Name")</f>
        <v>Name</v>
      </c>
      <c r="O33" s="99" t="str">
        <f>IFERROR(__xludf.DUMMYFUNCTION("""COMPUTED_VALUE"""),"Score")</f>
        <v>Score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>
      <c r="A34" s="2"/>
      <c r="B34" s="5">
        <f>IFERROR(__xludf.DUMMYFUNCTION("""COMPUTED_VALUE"""),32.0)</f>
        <v>32</v>
      </c>
      <c r="C34" s="5">
        <f>IFERROR(__xludf.DUMMYFUNCTION("""COMPUTED_VALUE"""),59.0)</f>
        <v>59</v>
      </c>
      <c r="D34" s="5" t="str">
        <f>IFERROR(__xludf.DUMMYFUNCTION("""COMPUTED_VALUE"""),"Oleh Solomoichenko")</f>
        <v>Oleh Solomoichenko</v>
      </c>
      <c r="E34" s="5" t="str">
        <f>IFERROR(__xludf.DUMMYFUNCTION("""COMPUTED_VALUE"""),"Ukraine")</f>
        <v>Ukraine</v>
      </c>
      <c r="F34" s="5" t="str">
        <f>IFERROR(__xludf.DUMMYFUNCTION("""COMPUTED_VALUE"""),"BMW E46")</f>
        <v>BMW E46</v>
      </c>
      <c r="G34" s="42">
        <f>IFERROR(__xludf.DUMMYFUNCTION("""COMPUTED_VALUE"""),70.0)</f>
        <v>70</v>
      </c>
      <c r="H34" s="42">
        <f>IFERROR(__xludf.DUMMYFUNCTION("""COMPUTED_VALUE"""),58.0)</f>
        <v>58</v>
      </c>
      <c r="I34" s="42">
        <f>IFERROR(__xludf.DUMMYFUNCTION("""COMPUTED_VALUE"""),70.0058)</f>
        <v>70.0058</v>
      </c>
      <c r="J34" s="45">
        <f>IFERROR(__xludf.DUMMYFUNCTION("""COMPUTED_VALUE"""),58.0)</f>
        <v>58</v>
      </c>
      <c r="K34" s="46">
        <f>IFERROR(__xludf.DUMMYFUNCTION("""COMPUTED_VALUE"""),0.25)</f>
        <v>0.25</v>
      </c>
      <c r="L34" s="42"/>
      <c r="M34" s="100">
        <f>IFERROR(__xludf.DUMMYFUNCTION("""COMPUTED_VALUE"""),59.0)</f>
        <v>59</v>
      </c>
      <c r="N34" s="101" t="str">
        <f>IFERROR(__xludf.DUMMYFUNCTION("""COMPUTED_VALUE"""),"Oleh Solomoichenko")</f>
        <v>Oleh Solomoichenko</v>
      </c>
      <c r="O34" s="102">
        <f>IFERROR(__xludf.DUMMYFUNCTION("""COMPUTED_VALUE"""),70.0058)</f>
        <v>70.0058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>
      <c r="A35" s="2"/>
      <c r="B35" s="28">
        <f>IFERROR(__xludf.DUMMYFUNCTION("""COMPUTED_VALUE"""),33.0)</f>
        <v>33</v>
      </c>
      <c r="C35" s="28">
        <f>IFERROR(__xludf.DUMMYFUNCTION("""COMPUTED_VALUE"""),469.0)</f>
        <v>469</v>
      </c>
      <c r="D35" s="28" t="str">
        <f>IFERROR(__xludf.DUMMYFUNCTION("""COMPUTED_VALUE"""),"Elgars Bambāns")</f>
        <v>Elgars Bambāns</v>
      </c>
      <c r="E35" s="28" t="str">
        <f>IFERROR(__xludf.DUMMYFUNCTION("""COMPUTED_VALUE"""),"Latvia")</f>
        <v>Latvia</v>
      </c>
      <c r="F35" s="28" t="str">
        <f>IFERROR(__xludf.DUMMYFUNCTION("""COMPUTED_VALUE"""),"BMW E46")</f>
        <v>BMW E46</v>
      </c>
      <c r="G35" s="31">
        <f>IFERROR(__xludf.DUMMYFUNCTION("""COMPUTED_VALUE"""),0.0)</f>
        <v>0</v>
      </c>
      <c r="H35" s="31">
        <f>IFERROR(__xludf.DUMMYFUNCTION("""COMPUTED_VALUE"""),70.0)</f>
        <v>70</v>
      </c>
      <c r="I35" s="31">
        <f>IFERROR(__xludf.DUMMYFUNCTION("""COMPUTED_VALUE"""),70.0)</f>
        <v>70</v>
      </c>
      <c r="J35" s="34">
        <f>IFERROR(__xludf.DUMMYFUNCTION("""COMPUTED_VALUE"""),0.0)</f>
        <v>0</v>
      </c>
      <c r="K35" s="36">
        <f>IFERROR(__xludf.DUMMYFUNCTION("""COMPUTED_VALUE"""),0.1)</f>
        <v>0.1</v>
      </c>
      <c r="L35" s="31" t="str">
        <f>IFERROR(__xludf.DUMMYFUNCTION("""COMPUTED_VALUE"""),"Moist Drift Design")</f>
        <v>Moist Drift Design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>
      <c r="A36" s="2"/>
      <c r="B36" s="5">
        <f>IFERROR(__xludf.DUMMYFUNCTION("""COMPUTED_VALUE"""),34.0)</f>
        <v>34</v>
      </c>
      <c r="C36" s="5">
        <f>IFERROR(__xludf.DUMMYFUNCTION("""COMPUTED_VALUE"""),420.0)</f>
        <v>420</v>
      </c>
      <c r="D36" s="5" t="str">
        <f>IFERROR(__xludf.DUMMYFUNCTION("""COMPUTED_VALUE"""),"Eduards Rēdmanis")</f>
        <v>Eduards Rēdmanis</v>
      </c>
      <c r="E36" s="5" t="str">
        <f>IFERROR(__xludf.DUMMYFUNCTION("""COMPUTED_VALUE"""),"Latvia")</f>
        <v>Latvia</v>
      </c>
      <c r="F36" s="5" t="str">
        <f>IFERROR(__xludf.DUMMYFUNCTION("""COMPUTED_VALUE"""),"BMW E46")</f>
        <v>BMW E46</v>
      </c>
      <c r="G36" s="42">
        <f>IFERROR(__xludf.DUMMYFUNCTION("""COMPUTED_VALUE"""),69.0)</f>
        <v>69</v>
      </c>
      <c r="H36" s="42">
        <f>IFERROR(__xludf.DUMMYFUNCTION("""COMPUTED_VALUE"""),59.0)</f>
        <v>59</v>
      </c>
      <c r="I36" s="42">
        <f>IFERROR(__xludf.DUMMYFUNCTION("""COMPUTED_VALUE"""),69.0059)</f>
        <v>69.0059</v>
      </c>
      <c r="J36" s="45">
        <f>IFERROR(__xludf.DUMMYFUNCTION("""COMPUTED_VALUE"""),59.0)</f>
        <v>59</v>
      </c>
      <c r="K36" s="46">
        <f>IFERROR(__xludf.DUMMYFUNCTION("""COMPUTED_VALUE"""),0.1)</f>
        <v>0.1</v>
      </c>
      <c r="L36" s="42" t="str">
        <f>IFERROR(__xludf.DUMMYFUNCTION("""COMPUTED_VALUE"""),"RTRiga")</f>
        <v>RTRiga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>
      <c r="A37" s="2"/>
      <c r="B37" s="28">
        <f>IFERROR(__xludf.DUMMYFUNCTION("""COMPUTED_VALUE"""),35.0)</f>
        <v>35</v>
      </c>
      <c r="C37" s="28">
        <f>IFERROR(__xludf.DUMMYFUNCTION("""COMPUTED_VALUE"""),777.0)</f>
        <v>777</v>
      </c>
      <c r="D37" s="28" t="str">
        <f>IFERROR(__xludf.DUMMYFUNCTION("""COMPUTED_VALUE"""),"Jose Osuna")</f>
        <v>Jose Osuna</v>
      </c>
      <c r="E37" s="28" t="str">
        <f>IFERROR(__xludf.DUMMYFUNCTION("""COMPUTED_VALUE"""),"Mexico")</f>
        <v>Mexico</v>
      </c>
      <c r="F37" s="28" t="str">
        <f>IFERROR(__xludf.DUMMYFUNCTION("""COMPUTED_VALUE"""),"BMW E36")</f>
        <v>BMW E36</v>
      </c>
      <c r="G37" s="31">
        <f>IFERROR(__xludf.DUMMYFUNCTION("""COMPUTED_VALUE"""),43.0)</f>
        <v>43</v>
      </c>
      <c r="H37" s="31">
        <f>IFERROR(__xludf.DUMMYFUNCTION("""COMPUTED_VALUE"""),66.0)</f>
        <v>66</v>
      </c>
      <c r="I37" s="31">
        <f>IFERROR(__xludf.DUMMYFUNCTION("""COMPUTED_VALUE"""),66.0043)</f>
        <v>66.0043</v>
      </c>
      <c r="J37" s="34">
        <f>IFERROR(__xludf.DUMMYFUNCTION("""COMPUTED_VALUE"""),43.0)</f>
        <v>43</v>
      </c>
      <c r="K37" s="36">
        <f>IFERROR(__xludf.DUMMYFUNCTION("""COMPUTED_VALUE"""),0.1)</f>
        <v>0.1</v>
      </c>
      <c r="L37" s="31" t="str">
        <f>IFERROR(__xludf.DUMMYFUNCTION("""COMPUTED_VALUE"""),"9x")</f>
        <v>9x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2"/>
      <c r="B38" s="5">
        <f>IFERROR(__xludf.DUMMYFUNCTION("""COMPUTED_VALUE"""),36.0)</f>
        <v>36</v>
      </c>
      <c r="C38" s="5">
        <f>IFERROR(__xludf.DUMMYFUNCTION("""COMPUTED_VALUE"""),475.0)</f>
        <v>475</v>
      </c>
      <c r="D38" s="5" t="str">
        <f>IFERROR(__xludf.DUMMYFUNCTION("""COMPUTED_VALUE"""),"Kreznerics Dominik")</f>
        <v>Kreznerics Dominik</v>
      </c>
      <c r="E38" s="5" t="str">
        <f>IFERROR(__xludf.DUMMYFUNCTION("""COMPUTED_VALUE"""),"Hungary")</f>
        <v>Hungary</v>
      </c>
      <c r="F38" s="5" t="str">
        <f>IFERROR(__xludf.DUMMYFUNCTION("""COMPUTED_VALUE"""),"BMW E36")</f>
        <v>BMW E36</v>
      </c>
      <c r="G38" s="42">
        <f>IFERROR(__xludf.DUMMYFUNCTION("""COMPUTED_VALUE"""),64.0)</f>
        <v>64</v>
      </c>
      <c r="H38" s="42">
        <f>IFERROR(__xludf.DUMMYFUNCTION("""COMPUTED_VALUE"""),54.0)</f>
        <v>54</v>
      </c>
      <c r="I38" s="42">
        <f>IFERROR(__xludf.DUMMYFUNCTION("""COMPUTED_VALUE"""),64.0054)</f>
        <v>64.0054</v>
      </c>
      <c r="J38" s="45">
        <f>IFERROR(__xludf.DUMMYFUNCTION("""COMPUTED_VALUE"""),54.0)</f>
        <v>54</v>
      </c>
      <c r="K38" s="46">
        <f>IFERROR(__xludf.DUMMYFUNCTION("""COMPUTED_VALUE"""),0.1)</f>
        <v>0.1</v>
      </c>
      <c r="L38" s="42" t="str">
        <f>IFERROR(__xludf.DUMMYFUNCTION("""COMPUTED_VALUE"""),"MSK")</f>
        <v>MSK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>
      <c r="A39" s="2"/>
      <c r="B39" s="28">
        <f>IFERROR(__xludf.DUMMYFUNCTION("""COMPUTED_VALUE"""),37.0)</f>
        <v>37</v>
      </c>
      <c r="C39" s="28">
        <f>IFERROR(__xludf.DUMMYFUNCTION("""COMPUTED_VALUE"""),43.0)</f>
        <v>43</v>
      </c>
      <c r="D39" s="28" t="str">
        <f>IFERROR(__xludf.DUMMYFUNCTION("""COMPUTED_VALUE"""),"Azamat Maigarin")</f>
        <v>Azamat Maigarin</v>
      </c>
      <c r="E39" s="28" t="str">
        <f>IFERROR(__xludf.DUMMYFUNCTION("""COMPUTED_VALUE"""),"Kazakhstan")</f>
        <v>Kazakhstan</v>
      </c>
      <c r="F39" s="28" t="str">
        <f>IFERROR(__xludf.DUMMYFUNCTION("""COMPUTED_VALUE"""),"BMW E36")</f>
        <v>BMW E36</v>
      </c>
      <c r="G39" s="31">
        <f>IFERROR(__xludf.DUMMYFUNCTION("""COMPUTED_VALUE"""),60.0)</f>
        <v>60</v>
      </c>
      <c r="H39" s="31">
        <f>IFERROR(__xludf.DUMMYFUNCTION("""COMPUTED_VALUE"""),62.0)</f>
        <v>62</v>
      </c>
      <c r="I39" s="31">
        <f>IFERROR(__xludf.DUMMYFUNCTION("""COMPUTED_VALUE"""),62.006)</f>
        <v>62.006</v>
      </c>
      <c r="J39" s="34">
        <f>IFERROR(__xludf.DUMMYFUNCTION("""COMPUTED_VALUE"""),60.0)</f>
        <v>60</v>
      </c>
      <c r="K39" s="36">
        <f>IFERROR(__xludf.DUMMYFUNCTION("""COMPUTED_VALUE"""),0.1)</f>
        <v>0.1</v>
      </c>
      <c r="L39" s="31" t="str">
        <f>IFERROR(__xludf.DUMMYFUNCTION("""COMPUTED_VALUE"""),"Race place Team")</f>
        <v>Race place Team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>
      <c r="A40" s="2"/>
      <c r="B40" s="5">
        <f>IFERROR(__xludf.DUMMYFUNCTION("""COMPUTED_VALUE"""),38.0)</f>
        <v>38</v>
      </c>
      <c r="C40" s="5">
        <f>IFERROR(__xludf.DUMMYFUNCTION("""COMPUTED_VALUE"""),44.0)</f>
        <v>44</v>
      </c>
      <c r="D40" s="5" t="str">
        <f>IFERROR(__xludf.DUMMYFUNCTION("""COMPUTED_VALUE"""),"Vilius Prizgintas")</f>
        <v>Vilius Prizgintas</v>
      </c>
      <c r="E40" s="5" t="str">
        <f>IFERROR(__xludf.DUMMYFUNCTION("""COMPUTED_VALUE"""),"Lithuania")</f>
        <v>Lithuania</v>
      </c>
      <c r="F40" s="5" t="str">
        <f>IFERROR(__xludf.DUMMYFUNCTION("""COMPUTED_VALUE"""),"BMW E36")</f>
        <v>BMW E36</v>
      </c>
      <c r="G40" s="42">
        <f>IFERROR(__xludf.DUMMYFUNCTION("""COMPUTED_VALUE"""),60.0)</f>
        <v>60</v>
      </c>
      <c r="H40" s="42">
        <f>IFERROR(__xludf.DUMMYFUNCTION("""COMPUTED_VALUE"""),62.0)</f>
        <v>62</v>
      </c>
      <c r="I40" s="42">
        <f>IFERROR(__xludf.DUMMYFUNCTION("""COMPUTED_VALUE"""),62.006)</f>
        <v>62.006</v>
      </c>
      <c r="J40" s="45">
        <f>IFERROR(__xludf.DUMMYFUNCTION("""COMPUTED_VALUE"""),60.0)</f>
        <v>60</v>
      </c>
      <c r="K40" s="46">
        <f>IFERROR(__xludf.DUMMYFUNCTION("""COMPUTED_VALUE"""),0.1)</f>
        <v>0.1</v>
      </c>
      <c r="L40" s="42" t="str">
        <f>IFERROR(__xludf.DUMMYFUNCTION("""COMPUTED_VALUE"""),"NiekoTokio")</f>
        <v>NiekoTokio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>
      <c r="A41" s="2"/>
      <c r="B41" s="28">
        <f>IFERROR(__xludf.DUMMYFUNCTION("""COMPUTED_VALUE"""),39.0)</f>
        <v>39</v>
      </c>
      <c r="C41" s="28">
        <f>IFERROR(__xludf.DUMMYFUNCTION("""COMPUTED_VALUE"""),90.0)</f>
        <v>90</v>
      </c>
      <c r="D41" s="28" t="str">
        <f>IFERROR(__xludf.DUMMYFUNCTION("""COMPUTED_VALUE"""),"Rolandas Mišauskas")</f>
        <v>Rolandas Mišauskas</v>
      </c>
      <c r="E41" s="28" t="str">
        <f>IFERROR(__xludf.DUMMYFUNCTION("""COMPUTED_VALUE"""),"Lithuania")</f>
        <v>Lithuania</v>
      </c>
      <c r="F41" s="28" t="str">
        <f>IFERROR(__xludf.DUMMYFUNCTION("""COMPUTED_VALUE"""),"BMW E36")</f>
        <v>BMW E36</v>
      </c>
      <c r="G41" s="31">
        <f>IFERROR(__xludf.DUMMYFUNCTION("""COMPUTED_VALUE"""),48.0)</f>
        <v>48</v>
      </c>
      <c r="H41" s="31">
        <f>IFERROR(__xludf.DUMMYFUNCTION("""COMPUTED_VALUE"""),61.0)</f>
        <v>61</v>
      </c>
      <c r="I41" s="31">
        <f>IFERROR(__xludf.DUMMYFUNCTION("""COMPUTED_VALUE"""),61.0048)</f>
        <v>61.0048</v>
      </c>
      <c r="J41" s="34">
        <f>IFERROR(__xludf.DUMMYFUNCTION("""COMPUTED_VALUE"""),48.0)</f>
        <v>48</v>
      </c>
      <c r="K41" s="36">
        <f>IFERROR(__xludf.DUMMYFUNCTION("""COMPUTED_VALUE"""),0.1)</f>
        <v>0.1</v>
      </c>
      <c r="L41" s="3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>
      <c r="A42" s="2"/>
      <c r="B42" s="5">
        <f>IFERROR(__xludf.DUMMYFUNCTION("""COMPUTED_VALUE"""),40.0)</f>
        <v>40</v>
      </c>
      <c r="C42" s="5">
        <f>IFERROR(__xludf.DUMMYFUNCTION("""COMPUTED_VALUE"""),5.0)</f>
        <v>5</v>
      </c>
      <c r="D42" s="5" t="str">
        <f>IFERROR(__xludf.DUMMYFUNCTION("""COMPUTED_VALUE"""),"Kristiāns Austriņš")</f>
        <v>Kristiāns Austriņš</v>
      </c>
      <c r="E42" s="5" t="str">
        <f>IFERROR(__xludf.DUMMYFUNCTION("""COMPUTED_VALUE"""),"Latvia")</f>
        <v>Latvia</v>
      </c>
      <c r="F42" s="5" t="str">
        <f>IFERROR(__xludf.DUMMYFUNCTION("""COMPUTED_VALUE"""),"BMW E36")</f>
        <v>BMW E36</v>
      </c>
      <c r="G42" s="42">
        <f>IFERROR(__xludf.DUMMYFUNCTION("""COMPUTED_VALUE"""),0.0)</f>
        <v>0</v>
      </c>
      <c r="H42" s="42">
        <f>IFERROR(__xludf.DUMMYFUNCTION("""COMPUTED_VALUE"""),61.0)</f>
        <v>61</v>
      </c>
      <c r="I42" s="42">
        <f>IFERROR(__xludf.DUMMYFUNCTION("""COMPUTED_VALUE"""),61.0)</f>
        <v>61</v>
      </c>
      <c r="J42" s="45">
        <f>IFERROR(__xludf.DUMMYFUNCTION("""COMPUTED_VALUE"""),0.0)</f>
        <v>0</v>
      </c>
      <c r="K42" s="46">
        <f>IFERROR(__xludf.DUMMYFUNCTION("""COMPUTED_VALUE"""),0.1)</f>
        <v>0.1</v>
      </c>
      <c r="L42" s="4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>
      <c r="A43" s="2"/>
      <c r="B43" s="83">
        <f>IFERROR(__xludf.DUMMYFUNCTION("""COMPUTED_VALUE"""),41.0)</f>
        <v>41</v>
      </c>
      <c r="C43" s="83">
        <f>IFERROR(__xludf.DUMMYFUNCTION("""COMPUTED_VALUE"""),37.0)</f>
        <v>37</v>
      </c>
      <c r="D43" s="83" t="str">
        <f>IFERROR(__xludf.DUMMYFUNCTION("""COMPUTED_VALUE"""),"Markuss Milns")</f>
        <v>Markuss Milns</v>
      </c>
      <c r="E43" s="83" t="str">
        <f>IFERROR(__xludf.DUMMYFUNCTION("""COMPUTED_VALUE"""),"Latvia")</f>
        <v>Latvia</v>
      </c>
      <c r="F43" s="83" t="str">
        <f>IFERROR(__xludf.DUMMYFUNCTION("""COMPUTED_VALUE"""),"BMW E36")</f>
        <v>BMW E36</v>
      </c>
      <c r="G43" s="84">
        <f>IFERROR(__xludf.DUMMYFUNCTION("""COMPUTED_VALUE"""),61.0)</f>
        <v>61</v>
      </c>
      <c r="H43" s="84">
        <f>IFERROR(__xludf.DUMMYFUNCTION("""COMPUTED_VALUE"""),0.0)</f>
        <v>0</v>
      </c>
      <c r="I43" s="84">
        <f>IFERROR(__xludf.DUMMYFUNCTION("""COMPUTED_VALUE"""),61.0)</f>
        <v>61</v>
      </c>
      <c r="J43" s="86">
        <f>IFERROR(__xludf.DUMMYFUNCTION("""COMPUTED_VALUE"""),0.0)</f>
        <v>0</v>
      </c>
      <c r="K43" s="87">
        <f>IFERROR(__xludf.DUMMYFUNCTION("""COMPUTED_VALUE"""),0.1)</f>
        <v>0.1</v>
      </c>
      <c r="L43" s="84" t="str">
        <f>IFERROR(__xludf.DUMMYFUNCTION("""COMPUTED_VALUE"""),"Drifta Halle")</f>
        <v>Drifta Halle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>
      <c r="A44" s="2"/>
      <c r="B44" s="5">
        <f>IFERROR(__xludf.DUMMYFUNCTION("""COMPUTED_VALUE"""),42.0)</f>
        <v>42</v>
      </c>
      <c r="C44" s="5">
        <f>IFERROR(__xludf.DUMMYFUNCTION("""COMPUTED_VALUE"""),497.0)</f>
        <v>497</v>
      </c>
      <c r="D44" s="5" t="str">
        <f>IFERROR(__xludf.DUMMYFUNCTION("""COMPUTED_VALUE"""),"Mathe Szilveszter")</f>
        <v>Mathe Szilveszter</v>
      </c>
      <c r="E44" s="5" t="str">
        <f>IFERROR(__xludf.DUMMYFUNCTION("""COMPUTED_VALUE"""),"Hungary")</f>
        <v>Hungary</v>
      </c>
      <c r="F44" s="5" t="str">
        <f>IFERROR(__xludf.DUMMYFUNCTION("""COMPUTED_VALUE"""),"BMW E36")</f>
        <v>BMW E36</v>
      </c>
      <c r="G44" s="42">
        <f>IFERROR(__xludf.DUMMYFUNCTION("""COMPUTED_VALUE"""),0.0)</f>
        <v>0</v>
      </c>
      <c r="H44" s="42">
        <f>IFERROR(__xludf.DUMMYFUNCTION("""COMPUTED_VALUE"""),61.0)</f>
        <v>61</v>
      </c>
      <c r="I44" s="42">
        <f>IFERROR(__xludf.DUMMYFUNCTION("""COMPUTED_VALUE"""),61.0)</f>
        <v>61</v>
      </c>
      <c r="J44" s="45">
        <f>IFERROR(__xludf.DUMMYFUNCTION("""COMPUTED_VALUE"""),0.0)</f>
        <v>0</v>
      </c>
      <c r="K44" s="46">
        <f>IFERROR(__xludf.DUMMYFUNCTION("""COMPUTED_VALUE"""),0.1)</f>
        <v>0.1</v>
      </c>
      <c r="L44" s="42" t="str">
        <f>IFERROR(__xludf.DUMMYFUNCTION("""COMPUTED_VALUE"""),"MSK")</f>
        <v>MSK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2"/>
      <c r="B45" s="83">
        <f>IFERROR(__xludf.DUMMYFUNCTION("""COMPUTED_VALUE"""),43.0)</f>
        <v>43</v>
      </c>
      <c r="C45" s="83">
        <f>IFERROR(__xludf.DUMMYFUNCTION("""COMPUTED_VALUE"""),8.0)</f>
        <v>8</v>
      </c>
      <c r="D45" s="83" t="str">
        <f>IFERROR(__xludf.DUMMYFUNCTION("""COMPUTED_VALUE"""),"Gundars Gūte")</f>
        <v>Gundars Gūte</v>
      </c>
      <c r="E45" s="83" t="str">
        <f>IFERROR(__xludf.DUMMYFUNCTION("""COMPUTED_VALUE"""),"Latvia")</f>
        <v>Latvia</v>
      </c>
      <c r="F45" s="83" t="str">
        <f>IFERROR(__xludf.DUMMYFUNCTION("""COMPUTED_VALUE"""),"BMW E46")</f>
        <v>BMW E46</v>
      </c>
      <c r="G45" s="84">
        <f>IFERROR(__xludf.DUMMYFUNCTION("""COMPUTED_VALUE"""),60.0)</f>
        <v>60</v>
      </c>
      <c r="H45" s="84">
        <f>IFERROR(__xludf.DUMMYFUNCTION("""COMPUTED_VALUE"""),54.0)</f>
        <v>54</v>
      </c>
      <c r="I45" s="84">
        <f>IFERROR(__xludf.DUMMYFUNCTION("""COMPUTED_VALUE"""),60.0054)</f>
        <v>60.0054</v>
      </c>
      <c r="J45" s="86">
        <f>IFERROR(__xludf.DUMMYFUNCTION("""COMPUTED_VALUE"""),54.0)</f>
        <v>54</v>
      </c>
      <c r="K45" s="87">
        <f>IFERROR(__xludf.DUMMYFUNCTION("""COMPUTED_VALUE"""),0.1)</f>
        <v>0.1</v>
      </c>
      <c r="L45" s="8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2"/>
      <c r="B46" s="5">
        <f>IFERROR(__xludf.DUMMYFUNCTION("""COMPUTED_VALUE"""),44.0)</f>
        <v>44</v>
      </c>
      <c r="C46" s="5">
        <f>IFERROR(__xludf.DUMMYFUNCTION("""COMPUTED_VALUE"""),24.0)</f>
        <v>24</v>
      </c>
      <c r="D46" s="5" t="str">
        <f>IFERROR(__xludf.DUMMYFUNCTION("""COMPUTED_VALUE"""),"Dāvis Rastoks")</f>
        <v>Dāvis Rastoks</v>
      </c>
      <c r="E46" s="5" t="str">
        <f>IFERROR(__xludf.DUMMYFUNCTION("""COMPUTED_VALUE"""),"Latvia")</f>
        <v>Latvia</v>
      </c>
      <c r="F46" s="5" t="str">
        <f>IFERROR(__xludf.DUMMYFUNCTION("""COMPUTED_VALUE"""),"BMW E36")</f>
        <v>BMW E36</v>
      </c>
      <c r="G46" s="42">
        <f>IFERROR(__xludf.DUMMYFUNCTION("""COMPUTED_VALUE"""),0.0)</f>
        <v>0</v>
      </c>
      <c r="H46" s="42">
        <f>IFERROR(__xludf.DUMMYFUNCTION("""COMPUTED_VALUE"""),60.0)</f>
        <v>60</v>
      </c>
      <c r="I46" s="42">
        <f>IFERROR(__xludf.DUMMYFUNCTION("""COMPUTED_VALUE"""),60.0)</f>
        <v>60</v>
      </c>
      <c r="J46" s="45">
        <f>IFERROR(__xludf.DUMMYFUNCTION("""COMPUTED_VALUE"""),0.0)</f>
        <v>0</v>
      </c>
      <c r="K46" s="46">
        <f>IFERROR(__xludf.DUMMYFUNCTION("""COMPUTED_VALUE"""),0.1)</f>
        <v>0.1</v>
      </c>
      <c r="L46" s="4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>
      <c r="A47" s="2"/>
      <c r="B47" s="83">
        <f>IFERROR(__xludf.DUMMYFUNCTION("""COMPUTED_VALUE"""),45.0)</f>
        <v>45</v>
      </c>
      <c r="C47" s="83">
        <f>IFERROR(__xludf.DUMMYFUNCTION("""COMPUTED_VALUE"""),989.0)</f>
        <v>989</v>
      </c>
      <c r="D47" s="83" t="str">
        <f>IFERROR(__xludf.DUMMYFUNCTION("""COMPUTED_VALUE"""),"Rytis Klimašauskas")</f>
        <v>Rytis Klimašauskas</v>
      </c>
      <c r="E47" s="83" t="str">
        <f>IFERROR(__xludf.DUMMYFUNCTION("""COMPUTED_VALUE"""),"Lithuania")</f>
        <v>Lithuania</v>
      </c>
      <c r="F47" s="83" t="str">
        <f>IFERROR(__xludf.DUMMYFUNCTION("""COMPUTED_VALUE"""),"BMW E36")</f>
        <v>BMW E36</v>
      </c>
      <c r="G47" s="84">
        <f>IFERROR(__xludf.DUMMYFUNCTION("""COMPUTED_VALUE"""),0.0)</f>
        <v>0</v>
      </c>
      <c r="H47" s="84">
        <f>IFERROR(__xludf.DUMMYFUNCTION("""COMPUTED_VALUE"""),60.0)</f>
        <v>60</v>
      </c>
      <c r="I47" s="84">
        <f>IFERROR(__xludf.DUMMYFUNCTION("""COMPUTED_VALUE"""),60.0)</f>
        <v>60</v>
      </c>
      <c r="J47" s="86">
        <f>IFERROR(__xludf.DUMMYFUNCTION("""COMPUTED_VALUE"""),0.0)</f>
        <v>0</v>
      </c>
      <c r="K47" s="87">
        <f>IFERROR(__xludf.DUMMYFUNCTION("""COMPUTED_VALUE"""),0.1)</f>
        <v>0.1</v>
      </c>
      <c r="L47" s="8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>
      <c r="A48" s="2"/>
      <c r="B48" s="5">
        <f>IFERROR(__xludf.DUMMYFUNCTION("""COMPUTED_VALUE"""),46.0)</f>
        <v>46</v>
      </c>
      <c r="C48" s="5">
        <f>IFERROR(__xludf.DUMMYFUNCTION("""COMPUTED_VALUE"""),888.0)</f>
        <v>888</v>
      </c>
      <c r="D48" s="5" t="str">
        <f>IFERROR(__xludf.DUMMYFUNCTION("""COMPUTED_VALUE"""),"Amanzhol Bolekbayev")</f>
        <v>Amanzhol Bolekbayev</v>
      </c>
      <c r="E48" s="5" t="str">
        <f>IFERROR(__xludf.DUMMYFUNCTION("""COMPUTED_VALUE"""),"Kazakhstan")</f>
        <v>Kazakhstan</v>
      </c>
      <c r="F48" s="5" t="str">
        <f>IFERROR(__xludf.DUMMYFUNCTION("""COMPUTED_VALUE"""),"BMW E36")</f>
        <v>BMW E36</v>
      </c>
      <c r="G48" s="42">
        <f>IFERROR(__xludf.DUMMYFUNCTION("""COMPUTED_VALUE"""),56.0)</f>
        <v>56</v>
      </c>
      <c r="H48" s="42">
        <f>IFERROR(__xludf.DUMMYFUNCTION("""COMPUTED_VALUE"""),35.0)</f>
        <v>35</v>
      </c>
      <c r="I48" s="42">
        <f>IFERROR(__xludf.DUMMYFUNCTION("""COMPUTED_VALUE"""),56.0035)</f>
        <v>56.0035</v>
      </c>
      <c r="J48" s="45">
        <f>IFERROR(__xludf.DUMMYFUNCTION("""COMPUTED_VALUE"""),35.0)</f>
        <v>35</v>
      </c>
      <c r="K48" s="46">
        <f>IFERROR(__xludf.DUMMYFUNCTION("""COMPUTED_VALUE"""),0.1)</f>
        <v>0.1</v>
      </c>
      <c r="L48" s="42" t="str">
        <f>IFERROR(__xludf.DUMMYFUNCTION("""COMPUTED_VALUE"""),"Ackerman")</f>
        <v>Ackerman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>
      <c r="A49" s="2"/>
      <c r="B49" s="83">
        <f>IFERROR(__xludf.DUMMYFUNCTION("""COMPUTED_VALUE"""),47.0)</f>
        <v>47</v>
      </c>
      <c r="C49" s="83">
        <f>IFERROR(__xludf.DUMMYFUNCTION("""COMPUTED_VALUE"""),369.0)</f>
        <v>369</v>
      </c>
      <c r="D49" s="83" t="str">
        <f>IFERROR(__xludf.DUMMYFUNCTION("""COMPUTED_VALUE"""),"Aivis Bambāns")</f>
        <v>Aivis Bambāns</v>
      </c>
      <c r="E49" s="83" t="str">
        <f>IFERROR(__xludf.DUMMYFUNCTION("""COMPUTED_VALUE"""),"Latvia")</f>
        <v>Latvia</v>
      </c>
      <c r="F49" s="83" t="str">
        <f>IFERROR(__xludf.DUMMYFUNCTION("""COMPUTED_VALUE"""),"BMW E46")</f>
        <v>BMW E46</v>
      </c>
      <c r="G49" s="84">
        <f>IFERROR(__xludf.DUMMYFUNCTION("""COMPUTED_VALUE"""),55.0)</f>
        <v>55</v>
      </c>
      <c r="H49" s="84">
        <f>IFERROR(__xludf.DUMMYFUNCTION("""COMPUTED_VALUE"""),54.0)</f>
        <v>54</v>
      </c>
      <c r="I49" s="84">
        <f>IFERROR(__xludf.DUMMYFUNCTION("""COMPUTED_VALUE"""),55.0054)</f>
        <v>55.0054</v>
      </c>
      <c r="J49" s="86">
        <f>IFERROR(__xludf.DUMMYFUNCTION("""COMPUTED_VALUE"""),54.0)</f>
        <v>54</v>
      </c>
      <c r="K49" s="87">
        <f>IFERROR(__xludf.DUMMYFUNCTION("""COMPUTED_VALUE"""),0.1)</f>
        <v>0.1</v>
      </c>
      <c r="L49" s="84" t="str">
        <f>IFERROR(__xludf.DUMMYFUNCTION("""COMPUTED_VALUE"""),"Moist Drift Design")</f>
        <v>Moist Drift Design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>
      <c r="A50" s="2"/>
      <c r="B50" s="5">
        <f>IFERROR(__xludf.DUMMYFUNCTION("""COMPUTED_VALUE"""),48.0)</f>
        <v>48</v>
      </c>
      <c r="C50" s="5">
        <f>IFERROR(__xludf.DUMMYFUNCTION("""COMPUTED_VALUE"""),27.0)</f>
        <v>27</v>
      </c>
      <c r="D50" s="5" t="str">
        <f>IFERROR(__xludf.DUMMYFUNCTION("""COMPUTED_VALUE"""),"juanjo munoz")</f>
        <v>juanjo munoz</v>
      </c>
      <c r="E50" s="5" t="str">
        <f>IFERROR(__xludf.DUMMYFUNCTION("""COMPUTED_VALUE"""),"Spain")</f>
        <v>Spain</v>
      </c>
      <c r="F50" s="5" t="str">
        <f>IFERROR(__xludf.DUMMYFUNCTION("""COMPUTED_VALUE"""),"BMW E46")</f>
        <v>BMW E46</v>
      </c>
      <c r="G50" s="42">
        <f>IFERROR(__xludf.DUMMYFUNCTION("""COMPUTED_VALUE"""),54.0)</f>
        <v>54</v>
      </c>
      <c r="H50" s="42">
        <f>IFERROR(__xludf.DUMMYFUNCTION("""COMPUTED_VALUE"""),0.0)</f>
        <v>0</v>
      </c>
      <c r="I50" s="42">
        <f>IFERROR(__xludf.DUMMYFUNCTION("""COMPUTED_VALUE"""),54.0)</f>
        <v>54</v>
      </c>
      <c r="J50" s="45">
        <f>IFERROR(__xludf.DUMMYFUNCTION("""COMPUTED_VALUE"""),0.0)</f>
        <v>0</v>
      </c>
      <c r="K50" s="46">
        <f>IFERROR(__xludf.DUMMYFUNCTION("""COMPUTED_VALUE"""),0.1)</f>
        <v>0.1</v>
      </c>
      <c r="L50" s="4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>
      <c r="A51" s="2"/>
      <c r="B51" s="28">
        <f>IFERROR(__xludf.DUMMYFUNCTION("""COMPUTED_VALUE"""),49.0)</f>
        <v>49</v>
      </c>
      <c r="C51" s="28">
        <f>IFERROR(__xludf.DUMMYFUNCTION("""COMPUTED_VALUE"""),64.0)</f>
        <v>64</v>
      </c>
      <c r="D51" s="28" t="str">
        <f>IFERROR(__xludf.DUMMYFUNCTION("""COMPUTED_VALUE"""),"Maciej Flisiński")</f>
        <v>Maciej Flisiński</v>
      </c>
      <c r="E51" s="28" t="str">
        <f>IFERROR(__xludf.DUMMYFUNCTION("""COMPUTED_VALUE"""),"Poland")</f>
        <v>Poland</v>
      </c>
      <c r="F51" s="28" t="str">
        <f>IFERROR(__xludf.DUMMYFUNCTION("""COMPUTED_VALUE"""),"BMW E36")</f>
        <v>BMW E36</v>
      </c>
      <c r="G51" s="31">
        <f>IFERROR(__xludf.DUMMYFUNCTION("""COMPUTED_VALUE"""),45.0)</f>
        <v>45</v>
      </c>
      <c r="H51" s="31">
        <f>IFERROR(__xludf.DUMMYFUNCTION("""COMPUTED_VALUE"""),50.0)</f>
        <v>50</v>
      </c>
      <c r="I51" s="31">
        <f>IFERROR(__xludf.DUMMYFUNCTION("""COMPUTED_VALUE"""),50.0045)</f>
        <v>50.0045</v>
      </c>
      <c r="J51" s="34">
        <f>IFERROR(__xludf.DUMMYFUNCTION("""COMPUTED_VALUE"""),45.0)</f>
        <v>45</v>
      </c>
      <c r="K51" s="36">
        <f>IFERROR(__xludf.DUMMYFUNCTION("""COMPUTED_VALUE"""),0.1)</f>
        <v>0.1</v>
      </c>
      <c r="L51" s="31" t="str">
        <f>IFERROR(__xludf.DUMMYFUNCTION("""COMPUTED_VALUE"""),"BSRig")</f>
        <v>BSRig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>
      <c r="A52" s="2"/>
      <c r="B52" s="5">
        <f>IFERROR(__xludf.DUMMYFUNCTION("""COMPUTED_VALUE"""),50.0)</f>
        <v>50</v>
      </c>
      <c r="C52" s="5">
        <f>IFERROR(__xludf.DUMMYFUNCTION("""COMPUTED_VALUE"""),47.0)</f>
        <v>47</v>
      </c>
      <c r="D52" s="5" t="str">
        <f>IFERROR(__xludf.DUMMYFUNCTION("""COMPUTED_VALUE"""),"Dominik Đurin")</f>
        <v>Dominik Đurin</v>
      </c>
      <c r="E52" s="5" t="str">
        <f>IFERROR(__xludf.DUMMYFUNCTION("""COMPUTED_VALUE"""),"Croatia")</f>
        <v>Croatia</v>
      </c>
      <c r="F52" s="5" t="str">
        <f>IFERROR(__xludf.DUMMYFUNCTION("""COMPUTED_VALUE"""),"BMW E46")</f>
        <v>BMW E46</v>
      </c>
      <c r="G52" s="42">
        <f>IFERROR(__xludf.DUMMYFUNCTION("""COMPUTED_VALUE"""),46.0)</f>
        <v>46</v>
      </c>
      <c r="H52" s="42">
        <f>IFERROR(__xludf.DUMMYFUNCTION("""COMPUTED_VALUE"""),0.0)</f>
        <v>0</v>
      </c>
      <c r="I52" s="42">
        <f>IFERROR(__xludf.DUMMYFUNCTION("""COMPUTED_VALUE"""),46.0)</f>
        <v>46</v>
      </c>
      <c r="J52" s="45">
        <f>IFERROR(__xludf.DUMMYFUNCTION("""COMPUTED_VALUE"""),0.0)</f>
        <v>0</v>
      </c>
      <c r="K52" s="46">
        <f>IFERROR(__xludf.DUMMYFUNCTION("""COMPUTED_VALUE"""),0.1)</f>
        <v>0.1</v>
      </c>
      <c r="L52" s="4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>
      <c r="A53" s="2"/>
      <c r="B53" s="28">
        <f>IFERROR(__xludf.DUMMYFUNCTION("""COMPUTED_VALUE"""),51.0)</f>
        <v>51</v>
      </c>
      <c r="C53" s="28">
        <f>IFERROR(__xludf.DUMMYFUNCTION("""COMPUTED_VALUE"""),175.0)</f>
        <v>175</v>
      </c>
      <c r="D53" s="28" t="str">
        <f>IFERROR(__xludf.DUMMYFUNCTION("""COMPUTED_VALUE"""),"Tõnis Nael")</f>
        <v>Tõnis Nael</v>
      </c>
      <c r="E53" s="28" t="str">
        <f>IFERROR(__xludf.DUMMYFUNCTION("""COMPUTED_VALUE"""),"Estonia")</f>
        <v>Estonia</v>
      </c>
      <c r="F53" s="28" t="str">
        <f>IFERROR(__xludf.DUMMYFUNCTION("""COMPUTED_VALUE"""),"BMW E46")</f>
        <v>BMW E46</v>
      </c>
      <c r="G53" s="31">
        <f>IFERROR(__xludf.DUMMYFUNCTION("""COMPUTED_VALUE"""),42.0)</f>
        <v>42</v>
      </c>
      <c r="H53" s="31">
        <f>IFERROR(__xludf.DUMMYFUNCTION("""COMPUTED_VALUE"""),41.0)</f>
        <v>41</v>
      </c>
      <c r="I53" s="31">
        <f>IFERROR(__xludf.DUMMYFUNCTION("""COMPUTED_VALUE"""),42.0041)</f>
        <v>42.0041</v>
      </c>
      <c r="J53" s="34">
        <f>IFERROR(__xludf.DUMMYFUNCTION("""COMPUTED_VALUE"""),41.0)</f>
        <v>41</v>
      </c>
      <c r="K53" s="36">
        <f>IFERROR(__xludf.DUMMYFUNCTION("""COMPUTED_VALUE"""),0.1)</f>
        <v>0.1</v>
      </c>
      <c r="L53" s="3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>
      <c r="A54" s="2"/>
      <c r="B54" s="5">
        <f>IFERROR(__xludf.DUMMYFUNCTION("""COMPUTED_VALUE"""),52.0)</f>
        <v>52</v>
      </c>
      <c r="C54" s="5"/>
      <c r="D54" s="5"/>
      <c r="E54" s="5"/>
      <c r="F54" s="5"/>
      <c r="G54" s="42"/>
      <c r="H54" s="42"/>
      <c r="I54" s="42"/>
      <c r="J54" s="45"/>
      <c r="K54" s="46">
        <f>IFERROR(__xludf.DUMMYFUNCTION("""COMPUTED_VALUE"""),0.0)</f>
        <v>0</v>
      </c>
      <c r="L54" s="42" t="str">
        <f>IFERROR(__xludf.DUMMYFUNCTION("""COMPUTED_VALUE"""),"")</f>
        <v/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>
      <c r="A55" s="2"/>
      <c r="B55" s="28">
        <f>IFERROR(__xludf.DUMMYFUNCTION("""COMPUTED_VALUE"""),53.0)</f>
        <v>53</v>
      </c>
      <c r="C55" s="28"/>
      <c r="D55" s="28"/>
      <c r="E55" s="28"/>
      <c r="F55" s="28"/>
      <c r="G55" s="31"/>
      <c r="H55" s="31"/>
      <c r="I55" s="31"/>
      <c r="J55" s="34"/>
      <c r="K55" s="36">
        <f>IFERROR(__xludf.DUMMYFUNCTION("""COMPUTED_VALUE"""),0.0)</f>
        <v>0</v>
      </c>
      <c r="L55" s="31" t="str">
        <f>IFERROR(__xludf.DUMMYFUNCTION("""COMPUTED_VALUE"""),"")</f>
        <v/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>
      <c r="A56" s="2"/>
      <c r="B56" s="5">
        <f>IFERROR(__xludf.DUMMYFUNCTION("""COMPUTED_VALUE"""),54.0)</f>
        <v>54</v>
      </c>
      <c r="C56" s="5"/>
      <c r="D56" s="5"/>
      <c r="E56" s="5"/>
      <c r="F56" s="5"/>
      <c r="G56" s="42"/>
      <c r="H56" s="42"/>
      <c r="I56" s="42"/>
      <c r="J56" s="45"/>
      <c r="K56" s="46">
        <f>IFERROR(__xludf.DUMMYFUNCTION("""COMPUTED_VALUE"""),0.0)</f>
        <v>0</v>
      </c>
      <c r="L56" s="42" t="str">
        <f>IFERROR(__xludf.DUMMYFUNCTION("""COMPUTED_VALUE"""),"")</f>
        <v/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>
      <c r="A57" s="2"/>
      <c r="B57" s="28">
        <f>IFERROR(__xludf.DUMMYFUNCTION("""COMPUTED_VALUE"""),55.0)</f>
        <v>55</v>
      </c>
      <c r="C57" s="28"/>
      <c r="D57" s="28"/>
      <c r="E57" s="28"/>
      <c r="F57" s="28"/>
      <c r="G57" s="31"/>
      <c r="H57" s="31"/>
      <c r="I57" s="31"/>
      <c r="J57" s="34"/>
      <c r="K57" s="36">
        <f>IFERROR(__xludf.DUMMYFUNCTION("""COMPUTED_VALUE"""),0.0)</f>
        <v>0</v>
      </c>
      <c r="L57" s="31" t="str">
        <f>IFERROR(__xludf.DUMMYFUNCTION("""COMPUTED_VALUE"""),"")</f>
        <v/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>
      <c r="A58" s="2"/>
      <c r="B58" s="5">
        <f>IFERROR(__xludf.DUMMYFUNCTION("""COMPUTED_VALUE"""),56.0)</f>
        <v>56</v>
      </c>
      <c r="C58" s="5"/>
      <c r="D58" s="5"/>
      <c r="E58" s="5"/>
      <c r="F58" s="5"/>
      <c r="G58" s="42"/>
      <c r="H58" s="42"/>
      <c r="I58" s="42"/>
      <c r="J58" s="45"/>
      <c r="K58" s="46">
        <f>IFERROR(__xludf.DUMMYFUNCTION("""COMPUTED_VALUE"""),0.0)</f>
        <v>0</v>
      </c>
      <c r="L58" s="42" t="str">
        <f>IFERROR(__xludf.DUMMYFUNCTION("""COMPUTED_VALUE"""),"")</f>
        <v/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>
      <c r="A59" s="2"/>
      <c r="B59" s="83">
        <f>IFERROR(__xludf.DUMMYFUNCTION("""COMPUTED_VALUE"""),57.0)</f>
        <v>57</v>
      </c>
      <c r="C59" s="83"/>
      <c r="D59" s="83"/>
      <c r="E59" s="83"/>
      <c r="F59" s="83"/>
      <c r="G59" s="84"/>
      <c r="H59" s="84"/>
      <c r="I59" s="84"/>
      <c r="J59" s="86"/>
      <c r="K59" s="87">
        <f>IFERROR(__xludf.DUMMYFUNCTION("""COMPUTED_VALUE"""),0.0)</f>
        <v>0</v>
      </c>
      <c r="L59" s="84" t="str">
        <f>IFERROR(__xludf.DUMMYFUNCTION("""COMPUTED_VALUE"""),"")</f>
        <v/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>
      <c r="A60" s="2"/>
      <c r="B60" s="5">
        <f>IFERROR(__xludf.DUMMYFUNCTION("""COMPUTED_VALUE"""),58.0)</f>
        <v>58</v>
      </c>
      <c r="C60" s="5"/>
      <c r="D60" s="5"/>
      <c r="E60" s="5"/>
      <c r="F60" s="5"/>
      <c r="G60" s="42"/>
      <c r="H60" s="42"/>
      <c r="I60" s="42"/>
      <c r="J60" s="45"/>
      <c r="K60" s="46">
        <f>IFERROR(__xludf.DUMMYFUNCTION("""COMPUTED_VALUE"""),0.0)</f>
        <v>0</v>
      </c>
      <c r="L60" s="42" t="str">
        <f>IFERROR(__xludf.DUMMYFUNCTION("""COMPUTED_VALUE"""),"")</f>
        <v/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>
      <c r="A61" s="2"/>
      <c r="B61" s="83">
        <f>IFERROR(__xludf.DUMMYFUNCTION("""COMPUTED_VALUE"""),59.0)</f>
        <v>59</v>
      </c>
      <c r="C61" s="83"/>
      <c r="D61" s="83"/>
      <c r="E61" s="83"/>
      <c r="F61" s="83"/>
      <c r="G61" s="84"/>
      <c r="H61" s="84"/>
      <c r="I61" s="84"/>
      <c r="J61" s="86"/>
      <c r="K61" s="87">
        <f>IFERROR(__xludf.DUMMYFUNCTION("""COMPUTED_VALUE"""),0.0)</f>
        <v>0</v>
      </c>
      <c r="L61" s="84" t="str">
        <f>IFERROR(__xludf.DUMMYFUNCTION("""COMPUTED_VALUE"""),"")</f>
        <v/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>
      <c r="A62" s="2"/>
      <c r="B62" s="5">
        <f>IFERROR(__xludf.DUMMYFUNCTION("""COMPUTED_VALUE"""),60.0)</f>
        <v>60</v>
      </c>
      <c r="C62" s="5"/>
      <c r="D62" s="5"/>
      <c r="E62" s="5"/>
      <c r="F62" s="5"/>
      <c r="G62" s="42"/>
      <c r="H62" s="42"/>
      <c r="I62" s="42"/>
      <c r="J62" s="45"/>
      <c r="K62" s="46">
        <f>IFERROR(__xludf.DUMMYFUNCTION("""COMPUTED_VALUE"""),0.0)</f>
        <v>0</v>
      </c>
      <c r="L62" s="42" t="str">
        <f>IFERROR(__xludf.DUMMYFUNCTION("""COMPUTED_VALUE"""),"")</f>
        <v/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>
      <c r="A63" s="2"/>
      <c r="B63" s="83">
        <f>IFERROR(__xludf.DUMMYFUNCTION("""COMPUTED_VALUE"""),61.0)</f>
        <v>61</v>
      </c>
      <c r="C63" s="83"/>
      <c r="D63" s="83"/>
      <c r="E63" s="83"/>
      <c r="F63" s="83"/>
      <c r="G63" s="84"/>
      <c r="H63" s="84"/>
      <c r="I63" s="84"/>
      <c r="J63" s="86"/>
      <c r="K63" s="87">
        <f>IFERROR(__xludf.DUMMYFUNCTION("""COMPUTED_VALUE"""),0.0)</f>
        <v>0</v>
      </c>
      <c r="L63" s="84" t="str">
        <f>IFERROR(__xludf.DUMMYFUNCTION("""COMPUTED_VALUE"""),"")</f>
        <v/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>
      <c r="A64" s="2"/>
      <c r="B64" s="5">
        <f>IFERROR(__xludf.DUMMYFUNCTION("""COMPUTED_VALUE"""),62.0)</f>
        <v>62</v>
      </c>
      <c r="C64" s="5"/>
      <c r="D64" s="5"/>
      <c r="E64" s="5"/>
      <c r="F64" s="5"/>
      <c r="G64" s="42"/>
      <c r="H64" s="42"/>
      <c r="I64" s="42"/>
      <c r="J64" s="45"/>
      <c r="K64" s="46">
        <f>IFERROR(__xludf.DUMMYFUNCTION("""COMPUTED_VALUE"""),0.0)</f>
        <v>0</v>
      </c>
      <c r="L64" s="42" t="str">
        <f>IFERROR(__xludf.DUMMYFUNCTION("""COMPUTED_VALUE"""),"")</f>
        <v/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>
      <c r="A65" s="2"/>
      <c r="B65" s="83">
        <f>IFERROR(__xludf.DUMMYFUNCTION("""COMPUTED_VALUE"""),63.0)</f>
        <v>63</v>
      </c>
      <c r="C65" s="83"/>
      <c r="D65" s="83"/>
      <c r="E65" s="83"/>
      <c r="F65" s="83"/>
      <c r="G65" s="84"/>
      <c r="H65" s="84"/>
      <c r="I65" s="84"/>
      <c r="J65" s="86"/>
      <c r="K65" s="87">
        <f>IFERROR(__xludf.DUMMYFUNCTION("""COMPUTED_VALUE"""),0.0)</f>
        <v>0</v>
      </c>
      <c r="L65" s="84" t="str">
        <f>IFERROR(__xludf.DUMMYFUNCTION("""COMPUTED_VALUE"""),"")</f>
        <v/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>
      <c r="A66" s="2"/>
      <c r="B66" s="5">
        <f>IFERROR(__xludf.DUMMYFUNCTION("""COMPUTED_VALUE"""),64.0)</f>
        <v>64</v>
      </c>
      <c r="C66" s="5"/>
      <c r="D66" s="5"/>
      <c r="E66" s="5"/>
      <c r="F66" s="5"/>
      <c r="G66" s="42"/>
      <c r="H66" s="42"/>
      <c r="I66" s="42"/>
      <c r="J66" s="45"/>
      <c r="K66" s="46">
        <f>IFERROR(__xludf.DUMMYFUNCTION("""COMPUTED_VALUE"""),0.0)</f>
        <v>0</v>
      </c>
      <c r="L66" s="42" t="str">
        <f>IFERROR(__xludf.DUMMYFUNCTION("""COMPUTED_VALUE"""),"")</f>
        <v/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>
      <c r="A67" s="2"/>
      <c r="B67" s="28">
        <f>IFERROR(__xludf.DUMMYFUNCTION("""COMPUTED_VALUE"""),65.0)</f>
        <v>65</v>
      </c>
      <c r="C67" s="28"/>
      <c r="D67" s="28"/>
      <c r="E67" s="28"/>
      <c r="F67" s="28"/>
      <c r="G67" s="31"/>
      <c r="H67" s="31"/>
      <c r="I67" s="31"/>
      <c r="J67" s="34"/>
      <c r="K67" s="36">
        <f>IFERROR(__xludf.DUMMYFUNCTION("""COMPUTED_VALUE"""),0.0)</f>
        <v>0</v>
      </c>
      <c r="L67" s="31" t="str">
        <f>IFERROR(__xludf.DUMMYFUNCTION("""COMPUTED_VALUE"""),"")</f>
        <v/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>
      <c r="A68" s="2"/>
      <c r="B68" s="5">
        <f>IFERROR(__xludf.DUMMYFUNCTION("""COMPUTED_VALUE"""),66.0)</f>
        <v>66</v>
      </c>
      <c r="C68" s="5"/>
      <c r="D68" s="5"/>
      <c r="E68" s="5"/>
      <c r="F68" s="5"/>
      <c r="G68" s="42"/>
      <c r="H68" s="42"/>
      <c r="I68" s="42"/>
      <c r="J68" s="45"/>
      <c r="K68" s="46">
        <f>IFERROR(__xludf.DUMMYFUNCTION("""COMPUTED_VALUE"""),0.0)</f>
        <v>0</v>
      </c>
      <c r="L68" s="42" t="str">
        <f>IFERROR(__xludf.DUMMYFUNCTION("""COMPUTED_VALUE"""),"")</f>
        <v/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>
      <c r="A69" s="2"/>
      <c r="B69" s="28">
        <f>IFERROR(__xludf.DUMMYFUNCTION("""COMPUTED_VALUE"""),67.0)</f>
        <v>67</v>
      </c>
      <c r="C69" s="28"/>
      <c r="D69" s="28"/>
      <c r="E69" s="28"/>
      <c r="F69" s="28"/>
      <c r="G69" s="31"/>
      <c r="H69" s="31"/>
      <c r="I69" s="31"/>
      <c r="J69" s="34"/>
      <c r="K69" s="36">
        <f>IFERROR(__xludf.DUMMYFUNCTION("""COMPUTED_VALUE"""),0.0)</f>
        <v>0</v>
      </c>
      <c r="L69" s="31" t="str">
        <f>IFERROR(__xludf.DUMMYFUNCTION("""COMPUTED_VALUE"""),"")</f>
        <v/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>
      <c r="A70" s="2"/>
      <c r="B70" s="5">
        <f>IFERROR(__xludf.DUMMYFUNCTION("""COMPUTED_VALUE"""),68.0)</f>
        <v>68</v>
      </c>
      <c r="C70" s="5"/>
      <c r="D70" s="5"/>
      <c r="E70" s="5"/>
      <c r="F70" s="5"/>
      <c r="G70" s="42"/>
      <c r="H70" s="42"/>
      <c r="I70" s="42"/>
      <c r="J70" s="45"/>
      <c r="K70" s="46">
        <f>IFERROR(__xludf.DUMMYFUNCTION("""COMPUTED_VALUE"""),0.0)</f>
        <v>0</v>
      </c>
      <c r="L70" s="42" t="str">
        <f>IFERROR(__xludf.DUMMYFUNCTION("""COMPUTED_VALUE"""),"")</f>
        <v/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>
      <c r="A71" s="2"/>
      <c r="B71" s="28">
        <f>IFERROR(__xludf.DUMMYFUNCTION("""COMPUTED_VALUE"""),69.0)</f>
        <v>69</v>
      </c>
      <c r="C71" s="28"/>
      <c r="D71" s="28"/>
      <c r="E71" s="28"/>
      <c r="F71" s="28"/>
      <c r="G71" s="31"/>
      <c r="H71" s="31"/>
      <c r="I71" s="31"/>
      <c r="J71" s="34"/>
      <c r="K71" s="36">
        <f>IFERROR(__xludf.DUMMYFUNCTION("""COMPUTED_VALUE"""),0.0)</f>
        <v>0</v>
      </c>
      <c r="L71" s="31" t="str">
        <f>IFERROR(__xludf.DUMMYFUNCTION("""COMPUTED_VALUE"""),"")</f>
        <v/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>
      <c r="A72" s="2"/>
      <c r="B72" s="5">
        <f>IFERROR(__xludf.DUMMYFUNCTION("""COMPUTED_VALUE"""),70.0)</f>
        <v>70</v>
      </c>
      <c r="C72" s="5"/>
      <c r="D72" s="5"/>
      <c r="E72" s="5"/>
      <c r="F72" s="5"/>
      <c r="G72" s="42"/>
      <c r="H72" s="42"/>
      <c r="I72" s="42"/>
      <c r="J72" s="45"/>
      <c r="K72" s="46">
        <f>IFERROR(__xludf.DUMMYFUNCTION("""COMPUTED_VALUE"""),0.0)</f>
        <v>0</v>
      </c>
      <c r="L72" s="42" t="str">
        <f>IFERROR(__xludf.DUMMYFUNCTION("""COMPUTED_VALUE"""),"")</f>
        <v/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>
      <c r="A73" s="2"/>
      <c r="B73" s="28">
        <f>IFERROR(__xludf.DUMMYFUNCTION("""COMPUTED_VALUE"""),71.0)</f>
        <v>71</v>
      </c>
      <c r="C73" s="28"/>
      <c r="D73" s="28"/>
      <c r="E73" s="28"/>
      <c r="F73" s="28"/>
      <c r="G73" s="31"/>
      <c r="H73" s="31"/>
      <c r="I73" s="31"/>
      <c r="J73" s="34"/>
      <c r="K73" s="36">
        <f>IFERROR(__xludf.DUMMYFUNCTION("""COMPUTED_VALUE"""),0.0)</f>
        <v>0</v>
      </c>
      <c r="L73" s="31" t="str">
        <f>IFERROR(__xludf.DUMMYFUNCTION("""COMPUTED_VALUE"""),"")</f>
        <v/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>
      <c r="A74" s="2"/>
      <c r="B74" s="5">
        <f>IFERROR(__xludf.DUMMYFUNCTION("""COMPUTED_VALUE"""),72.0)</f>
        <v>72</v>
      </c>
      <c r="C74" s="5"/>
      <c r="D74" s="5"/>
      <c r="E74" s="5"/>
      <c r="F74" s="5"/>
      <c r="G74" s="42"/>
      <c r="H74" s="42"/>
      <c r="I74" s="42"/>
      <c r="J74" s="45"/>
      <c r="K74" s="46">
        <f>IFERROR(__xludf.DUMMYFUNCTION("""COMPUTED_VALUE"""),0.0)</f>
        <v>0</v>
      </c>
      <c r="L74" s="42" t="str">
        <f>IFERROR(__xludf.DUMMYFUNCTION("""COMPUTED_VALUE"""),"")</f>
        <v/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>
      <c r="A75" s="2"/>
      <c r="B75" s="83">
        <f>IFERROR(__xludf.DUMMYFUNCTION("""COMPUTED_VALUE"""),73.0)</f>
        <v>73</v>
      </c>
      <c r="C75" s="83"/>
      <c r="D75" s="83"/>
      <c r="E75" s="83"/>
      <c r="F75" s="83"/>
      <c r="G75" s="84"/>
      <c r="H75" s="84"/>
      <c r="I75" s="84"/>
      <c r="J75" s="86"/>
      <c r="K75" s="87">
        <f>IFERROR(__xludf.DUMMYFUNCTION("""COMPUTED_VALUE"""),0.0)</f>
        <v>0</v>
      </c>
      <c r="L75" s="84" t="str">
        <f>IFERROR(__xludf.DUMMYFUNCTION("""COMPUTED_VALUE"""),"")</f>
        <v/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>
      <c r="A76" s="2"/>
      <c r="B76" s="5">
        <f>IFERROR(__xludf.DUMMYFUNCTION("""COMPUTED_VALUE"""),74.0)</f>
        <v>74</v>
      </c>
      <c r="C76" s="5"/>
      <c r="D76" s="5"/>
      <c r="E76" s="5"/>
      <c r="F76" s="5"/>
      <c r="G76" s="42"/>
      <c r="H76" s="42"/>
      <c r="I76" s="42"/>
      <c r="J76" s="45"/>
      <c r="K76" s="46">
        <f>IFERROR(__xludf.DUMMYFUNCTION("""COMPUTED_VALUE"""),0.0)</f>
        <v>0</v>
      </c>
      <c r="L76" s="42" t="str">
        <f>IFERROR(__xludf.DUMMYFUNCTION("""COMPUTED_VALUE"""),"")</f>
        <v/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>
      <c r="A77" s="2"/>
      <c r="B77" s="83">
        <f>IFERROR(__xludf.DUMMYFUNCTION("""COMPUTED_VALUE"""),75.0)</f>
        <v>75</v>
      </c>
      <c r="C77" s="83"/>
      <c r="D77" s="83"/>
      <c r="E77" s="83"/>
      <c r="F77" s="83"/>
      <c r="G77" s="84"/>
      <c r="H77" s="84"/>
      <c r="I77" s="84"/>
      <c r="J77" s="86"/>
      <c r="K77" s="87">
        <f>IFERROR(__xludf.DUMMYFUNCTION("""COMPUTED_VALUE"""),0.0)</f>
        <v>0</v>
      </c>
      <c r="L77" s="84" t="str">
        <f>IFERROR(__xludf.DUMMYFUNCTION("""COMPUTED_VALUE"""),"")</f>
        <v/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>
      <c r="A78" s="2"/>
      <c r="B78" s="5">
        <f>IFERROR(__xludf.DUMMYFUNCTION("""COMPUTED_VALUE"""),76.0)</f>
        <v>76</v>
      </c>
      <c r="C78" s="5"/>
      <c r="D78" s="5"/>
      <c r="E78" s="5"/>
      <c r="F78" s="5"/>
      <c r="G78" s="42"/>
      <c r="H78" s="42"/>
      <c r="I78" s="42"/>
      <c r="J78" s="45"/>
      <c r="K78" s="46">
        <f>IFERROR(__xludf.DUMMYFUNCTION("""COMPUTED_VALUE"""),0.0)</f>
        <v>0</v>
      </c>
      <c r="L78" s="42" t="str">
        <f>IFERROR(__xludf.DUMMYFUNCTION("""COMPUTED_VALUE"""),"")</f>
        <v/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>
      <c r="A79" s="2"/>
      <c r="B79" s="83">
        <f>IFERROR(__xludf.DUMMYFUNCTION("""COMPUTED_VALUE"""),77.0)</f>
        <v>77</v>
      </c>
      <c r="C79" s="83"/>
      <c r="D79" s="83"/>
      <c r="E79" s="83"/>
      <c r="F79" s="83"/>
      <c r="G79" s="84"/>
      <c r="H79" s="84"/>
      <c r="I79" s="84"/>
      <c r="J79" s="86"/>
      <c r="K79" s="87">
        <f>IFERROR(__xludf.DUMMYFUNCTION("""COMPUTED_VALUE"""),0.0)</f>
        <v>0</v>
      </c>
      <c r="L79" s="84" t="str">
        <f>IFERROR(__xludf.DUMMYFUNCTION("""COMPUTED_VALUE"""),"")</f>
        <v/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>
      <c r="A80" s="2"/>
      <c r="B80" s="5">
        <f>IFERROR(__xludf.DUMMYFUNCTION("""COMPUTED_VALUE"""),78.0)</f>
        <v>78</v>
      </c>
      <c r="C80" s="5"/>
      <c r="D80" s="5"/>
      <c r="E80" s="5"/>
      <c r="F80" s="5"/>
      <c r="G80" s="42"/>
      <c r="H80" s="42"/>
      <c r="I80" s="42"/>
      <c r="J80" s="45"/>
      <c r="K80" s="46">
        <f>IFERROR(__xludf.DUMMYFUNCTION("""COMPUTED_VALUE"""),0.0)</f>
        <v>0</v>
      </c>
      <c r="L80" s="42" t="str">
        <f>IFERROR(__xludf.DUMMYFUNCTION("""COMPUTED_VALUE"""),"")</f>
        <v/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>
      <c r="A81" s="2"/>
      <c r="B81" s="83">
        <f>IFERROR(__xludf.DUMMYFUNCTION("""COMPUTED_VALUE"""),79.0)</f>
        <v>79</v>
      </c>
      <c r="C81" s="83"/>
      <c r="D81" s="83"/>
      <c r="E81" s="83"/>
      <c r="F81" s="83"/>
      <c r="G81" s="84"/>
      <c r="H81" s="84"/>
      <c r="I81" s="84"/>
      <c r="J81" s="86"/>
      <c r="K81" s="87">
        <f>IFERROR(__xludf.DUMMYFUNCTION("""COMPUTED_VALUE"""),0.0)</f>
        <v>0</v>
      </c>
      <c r="L81" s="84" t="str">
        <f>IFERROR(__xludf.DUMMYFUNCTION("""COMPUTED_VALUE"""),"")</f>
        <v/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>
      <c r="A82" s="2"/>
      <c r="B82" s="5">
        <f>IFERROR(__xludf.DUMMYFUNCTION("""COMPUTED_VALUE"""),80.0)</f>
        <v>80</v>
      </c>
      <c r="C82" s="5"/>
      <c r="D82" s="5"/>
      <c r="E82" s="5"/>
      <c r="F82" s="5"/>
      <c r="G82" s="42"/>
      <c r="H82" s="42"/>
      <c r="I82" s="42"/>
      <c r="J82" s="45"/>
      <c r="K82" s="46">
        <f>IFERROR(__xludf.DUMMYFUNCTION("""COMPUTED_VALUE"""),0.0)</f>
        <v>0</v>
      </c>
      <c r="L82" s="42" t="str">
        <f>IFERROR(__xludf.DUMMYFUNCTION("""COMPUTED_VALUE"""),"")</f>
        <v/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>
      <c r="A83" s="2"/>
      <c r="B83" s="28">
        <f>IFERROR(__xludf.DUMMYFUNCTION("""COMPUTED_VALUE"""),81.0)</f>
        <v>81</v>
      </c>
      <c r="C83" s="28"/>
      <c r="D83" s="28"/>
      <c r="E83" s="28"/>
      <c r="F83" s="28"/>
      <c r="G83" s="31"/>
      <c r="H83" s="31"/>
      <c r="I83" s="31"/>
      <c r="J83" s="34"/>
      <c r="K83" s="36">
        <f>IFERROR(__xludf.DUMMYFUNCTION("""COMPUTED_VALUE"""),0.0)</f>
        <v>0</v>
      </c>
      <c r="L83" s="31" t="str">
        <f>IFERROR(__xludf.DUMMYFUNCTION("""COMPUTED_VALUE"""),"")</f>
        <v/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>
      <c r="A84" s="2"/>
      <c r="B84" s="5">
        <f>IFERROR(__xludf.DUMMYFUNCTION("""COMPUTED_VALUE"""),82.0)</f>
        <v>82</v>
      </c>
      <c r="C84" s="5"/>
      <c r="D84" s="5"/>
      <c r="E84" s="5"/>
      <c r="F84" s="5"/>
      <c r="G84" s="42"/>
      <c r="H84" s="42"/>
      <c r="I84" s="42"/>
      <c r="J84" s="45"/>
      <c r="K84" s="46">
        <f>IFERROR(__xludf.DUMMYFUNCTION("""COMPUTED_VALUE"""),0.0)</f>
        <v>0</v>
      </c>
      <c r="L84" s="42" t="str">
        <f>IFERROR(__xludf.DUMMYFUNCTION("""COMPUTED_VALUE"""),"")</f>
        <v/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>
      <c r="A85" s="2"/>
      <c r="B85" s="28">
        <f>IFERROR(__xludf.DUMMYFUNCTION("""COMPUTED_VALUE"""),83.0)</f>
        <v>83</v>
      </c>
      <c r="C85" s="28"/>
      <c r="D85" s="28"/>
      <c r="E85" s="28"/>
      <c r="F85" s="28"/>
      <c r="G85" s="31"/>
      <c r="H85" s="31"/>
      <c r="I85" s="31"/>
      <c r="J85" s="34"/>
      <c r="K85" s="36">
        <f>IFERROR(__xludf.DUMMYFUNCTION("""COMPUTED_VALUE"""),0.0)</f>
        <v>0</v>
      </c>
      <c r="L85" s="31" t="str">
        <f>IFERROR(__xludf.DUMMYFUNCTION("""COMPUTED_VALUE"""),"")</f>
        <v/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>
      <c r="A86" s="2"/>
      <c r="B86" s="5">
        <f>IFERROR(__xludf.DUMMYFUNCTION("""COMPUTED_VALUE"""),84.0)</f>
        <v>84</v>
      </c>
      <c r="C86" s="5"/>
      <c r="D86" s="5"/>
      <c r="E86" s="5"/>
      <c r="F86" s="5"/>
      <c r="G86" s="42"/>
      <c r="H86" s="42"/>
      <c r="I86" s="42"/>
      <c r="J86" s="45"/>
      <c r="K86" s="46">
        <f>IFERROR(__xludf.DUMMYFUNCTION("""COMPUTED_VALUE"""),0.0)</f>
        <v>0</v>
      </c>
      <c r="L86" s="42" t="str">
        <f>IFERROR(__xludf.DUMMYFUNCTION("""COMPUTED_VALUE"""),"")</f>
        <v/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>
      <c r="A87" s="2"/>
      <c r="B87" s="28">
        <f>IFERROR(__xludf.DUMMYFUNCTION("""COMPUTED_VALUE"""),85.0)</f>
        <v>85</v>
      </c>
      <c r="C87" s="28"/>
      <c r="D87" s="28"/>
      <c r="E87" s="28"/>
      <c r="F87" s="28"/>
      <c r="G87" s="31"/>
      <c r="H87" s="31"/>
      <c r="I87" s="31"/>
      <c r="J87" s="34"/>
      <c r="K87" s="36">
        <f>IFERROR(__xludf.DUMMYFUNCTION("""COMPUTED_VALUE"""),0.0)</f>
        <v>0</v>
      </c>
      <c r="L87" s="31" t="str">
        <f>IFERROR(__xludf.DUMMYFUNCTION("""COMPUTED_VALUE"""),"")</f>
        <v/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>
      <c r="A88" s="2"/>
      <c r="B88" s="5">
        <f>IFERROR(__xludf.DUMMYFUNCTION("""COMPUTED_VALUE"""),86.0)</f>
        <v>86</v>
      </c>
      <c r="C88" s="5"/>
      <c r="D88" s="5"/>
      <c r="E88" s="5"/>
      <c r="F88" s="5"/>
      <c r="G88" s="42"/>
      <c r="H88" s="42"/>
      <c r="I88" s="42"/>
      <c r="J88" s="45"/>
      <c r="K88" s="46">
        <f>IFERROR(__xludf.DUMMYFUNCTION("""COMPUTED_VALUE"""),0.0)</f>
        <v>0</v>
      </c>
      <c r="L88" s="42" t="str">
        <f>IFERROR(__xludf.DUMMYFUNCTION("""COMPUTED_VALUE"""),"")</f>
        <v/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>
      <c r="A89" s="2"/>
      <c r="B89" s="28">
        <f>IFERROR(__xludf.DUMMYFUNCTION("""COMPUTED_VALUE"""),87.0)</f>
        <v>87</v>
      </c>
      <c r="C89" s="28"/>
      <c r="D89" s="28"/>
      <c r="E89" s="28"/>
      <c r="F89" s="28"/>
      <c r="G89" s="31"/>
      <c r="H89" s="31"/>
      <c r="I89" s="31"/>
      <c r="J89" s="34"/>
      <c r="K89" s="36">
        <f>IFERROR(__xludf.DUMMYFUNCTION("""COMPUTED_VALUE"""),0.0)</f>
        <v>0</v>
      </c>
      <c r="L89" s="31" t="str">
        <f>IFERROR(__xludf.DUMMYFUNCTION("""COMPUTED_VALUE"""),"")</f>
        <v/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>
      <c r="A90" s="2"/>
      <c r="B90" s="5">
        <f>IFERROR(__xludf.DUMMYFUNCTION("""COMPUTED_VALUE"""),88.0)</f>
        <v>88</v>
      </c>
      <c r="C90" s="5"/>
      <c r="D90" s="5"/>
      <c r="E90" s="5"/>
      <c r="F90" s="5"/>
      <c r="G90" s="42"/>
      <c r="H90" s="42"/>
      <c r="I90" s="42"/>
      <c r="J90" s="45"/>
      <c r="K90" s="46">
        <f>IFERROR(__xludf.DUMMYFUNCTION("""COMPUTED_VALUE"""),0.0)</f>
        <v>0</v>
      </c>
      <c r="L90" s="42" t="str">
        <f>IFERROR(__xludf.DUMMYFUNCTION("""COMPUTED_VALUE"""),"")</f>
        <v/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>
      <c r="A91" s="2"/>
      <c r="B91" s="83">
        <f>IFERROR(__xludf.DUMMYFUNCTION("""COMPUTED_VALUE"""),89.0)</f>
        <v>89</v>
      </c>
      <c r="C91" s="83"/>
      <c r="D91" s="83"/>
      <c r="E91" s="83"/>
      <c r="F91" s="83"/>
      <c r="G91" s="84"/>
      <c r="H91" s="84"/>
      <c r="I91" s="84"/>
      <c r="J91" s="86"/>
      <c r="K91" s="87">
        <f>IFERROR(__xludf.DUMMYFUNCTION("""COMPUTED_VALUE"""),0.0)</f>
        <v>0</v>
      </c>
      <c r="L91" s="84" t="str">
        <f>IFERROR(__xludf.DUMMYFUNCTION("""COMPUTED_VALUE"""),"")</f>
        <v/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>
      <c r="A92" s="2"/>
      <c r="B92" s="5">
        <f>IFERROR(__xludf.DUMMYFUNCTION("""COMPUTED_VALUE"""),90.0)</f>
        <v>90</v>
      </c>
      <c r="C92" s="5"/>
      <c r="D92" s="5"/>
      <c r="E92" s="5"/>
      <c r="F92" s="5"/>
      <c r="G92" s="42"/>
      <c r="H92" s="42"/>
      <c r="I92" s="42"/>
      <c r="J92" s="45"/>
      <c r="K92" s="46">
        <f>IFERROR(__xludf.DUMMYFUNCTION("""COMPUTED_VALUE"""),0.0)</f>
        <v>0</v>
      </c>
      <c r="L92" s="42" t="str">
        <f>IFERROR(__xludf.DUMMYFUNCTION("""COMPUTED_VALUE"""),"")</f>
        <v/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>
      <c r="A93" s="2"/>
      <c r="B93" s="83">
        <f>IFERROR(__xludf.DUMMYFUNCTION("""COMPUTED_VALUE"""),91.0)</f>
        <v>91</v>
      </c>
      <c r="C93" s="83"/>
      <c r="D93" s="83"/>
      <c r="E93" s="83"/>
      <c r="F93" s="83"/>
      <c r="G93" s="84"/>
      <c r="H93" s="84"/>
      <c r="I93" s="84"/>
      <c r="J93" s="86"/>
      <c r="K93" s="87">
        <f>IFERROR(__xludf.DUMMYFUNCTION("""COMPUTED_VALUE"""),0.0)</f>
        <v>0</v>
      </c>
      <c r="L93" s="84" t="str">
        <f>IFERROR(__xludf.DUMMYFUNCTION("""COMPUTED_VALUE"""),"")</f>
        <v/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>
      <c r="A94" s="2"/>
      <c r="B94" s="5">
        <f>IFERROR(__xludf.DUMMYFUNCTION("""COMPUTED_VALUE"""),92.0)</f>
        <v>92</v>
      </c>
      <c r="C94" s="5"/>
      <c r="D94" s="5"/>
      <c r="E94" s="5"/>
      <c r="F94" s="5"/>
      <c r="G94" s="42"/>
      <c r="H94" s="42"/>
      <c r="I94" s="42"/>
      <c r="J94" s="45"/>
      <c r="K94" s="46">
        <f>IFERROR(__xludf.DUMMYFUNCTION("""COMPUTED_VALUE"""),0.0)</f>
        <v>0</v>
      </c>
      <c r="L94" s="42" t="str">
        <f>IFERROR(__xludf.DUMMYFUNCTION("""COMPUTED_VALUE"""),"")</f>
        <v/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>
      <c r="A95" s="2"/>
      <c r="B95" s="83">
        <f>IFERROR(__xludf.DUMMYFUNCTION("""COMPUTED_VALUE"""),93.0)</f>
        <v>93</v>
      </c>
      <c r="C95" s="83"/>
      <c r="D95" s="83"/>
      <c r="E95" s="83"/>
      <c r="F95" s="83"/>
      <c r="G95" s="84"/>
      <c r="H95" s="84"/>
      <c r="I95" s="84"/>
      <c r="J95" s="86"/>
      <c r="K95" s="87">
        <f>IFERROR(__xludf.DUMMYFUNCTION("""COMPUTED_VALUE"""),0.0)</f>
        <v>0</v>
      </c>
      <c r="L95" s="84" t="str">
        <f>IFERROR(__xludf.DUMMYFUNCTION("""COMPUTED_VALUE"""),"")</f>
        <v/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>
      <c r="A96" s="2"/>
      <c r="B96" s="5">
        <f>IFERROR(__xludf.DUMMYFUNCTION("""COMPUTED_VALUE"""),94.0)</f>
        <v>94</v>
      </c>
      <c r="C96" s="5"/>
      <c r="D96" s="5"/>
      <c r="E96" s="5"/>
      <c r="F96" s="5"/>
      <c r="G96" s="42"/>
      <c r="H96" s="42"/>
      <c r="I96" s="42"/>
      <c r="J96" s="45"/>
      <c r="K96" s="46">
        <f>IFERROR(__xludf.DUMMYFUNCTION("""COMPUTED_VALUE"""),0.0)</f>
        <v>0</v>
      </c>
      <c r="L96" s="42" t="str">
        <f>IFERROR(__xludf.DUMMYFUNCTION("""COMPUTED_VALUE"""),"")</f>
        <v/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>
      <c r="A97" s="2"/>
      <c r="B97" s="83">
        <f>IFERROR(__xludf.DUMMYFUNCTION("""COMPUTED_VALUE"""),95.0)</f>
        <v>95</v>
      </c>
      <c r="C97" s="83"/>
      <c r="D97" s="83"/>
      <c r="E97" s="83"/>
      <c r="F97" s="83"/>
      <c r="G97" s="84"/>
      <c r="H97" s="84"/>
      <c r="I97" s="84"/>
      <c r="J97" s="86"/>
      <c r="K97" s="87">
        <f>IFERROR(__xludf.DUMMYFUNCTION("""COMPUTED_VALUE"""),0.0)</f>
        <v>0</v>
      </c>
      <c r="L97" s="84" t="str">
        <f>IFERROR(__xludf.DUMMYFUNCTION("""COMPUTED_VALUE"""),"")</f>
        <v/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>
      <c r="A98" s="2"/>
      <c r="B98" s="5">
        <f>IFERROR(__xludf.DUMMYFUNCTION("""COMPUTED_VALUE"""),96.0)</f>
        <v>96</v>
      </c>
      <c r="C98" s="5"/>
      <c r="D98" s="5"/>
      <c r="E98" s="5"/>
      <c r="F98" s="5"/>
      <c r="G98" s="42"/>
      <c r="H98" s="42"/>
      <c r="I98" s="42"/>
      <c r="J98" s="45"/>
      <c r="K98" s="46">
        <f>IFERROR(__xludf.DUMMYFUNCTION("""COMPUTED_VALUE"""),0.0)</f>
        <v>0</v>
      </c>
      <c r="L98" s="42" t="str">
        <f>IFERROR(__xludf.DUMMYFUNCTION("""COMPUTED_VALUE"""),"")</f>
        <v/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>
      <c r="A99" s="2"/>
      <c r="B99" s="28">
        <f>IFERROR(__xludf.DUMMYFUNCTION("""COMPUTED_VALUE"""),97.0)</f>
        <v>97</v>
      </c>
      <c r="C99" s="28"/>
      <c r="D99" s="28"/>
      <c r="E99" s="28"/>
      <c r="F99" s="28"/>
      <c r="G99" s="31"/>
      <c r="H99" s="31"/>
      <c r="I99" s="31"/>
      <c r="J99" s="34"/>
      <c r="K99" s="36">
        <f>IFERROR(__xludf.DUMMYFUNCTION("""COMPUTED_VALUE"""),0.0)</f>
        <v>0</v>
      </c>
      <c r="L99" s="31" t="str">
        <f>IFERROR(__xludf.DUMMYFUNCTION("""COMPUTED_VALUE"""),"")</f>
        <v/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>
      <c r="A100" s="2"/>
      <c r="B100" s="5">
        <f>IFERROR(__xludf.DUMMYFUNCTION("""COMPUTED_VALUE"""),98.0)</f>
        <v>98</v>
      </c>
      <c r="C100" s="5"/>
      <c r="D100" s="5"/>
      <c r="E100" s="5"/>
      <c r="F100" s="5"/>
      <c r="G100" s="42"/>
      <c r="H100" s="42"/>
      <c r="I100" s="42"/>
      <c r="J100" s="45"/>
      <c r="K100" s="46">
        <f>IFERROR(__xludf.DUMMYFUNCTION("""COMPUTED_VALUE"""),0.0)</f>
        <v>0</v>
      </c>
      <c r="L100" s="42" t="str">
        <f>IFERROR(__xludf.DUMMYFUNCTION("""COMPUTED_VALUE"""),"")</f>
        <v/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>
      <c r="A101" s="2"/>
      <c r="B101" s="28">
        <f>IFERROR(__xludf.DUMMYFUNCTION("""COMPUTED_VALUE"""),99.0)</f>
        <v>99</v>
      </c>
      <c r="C101" s="28"/>
      <c r="D101" s="28"/>
      <c r="E101" s="28"/>
      <c r="F101" s="28"/>
      <c r="G101" s="31"/>
      <c r="H101" s="31"/>
      <c r="I101" s="31"/>
      <c r="J101" s="34"/>
      <c r="K101" s="36">
        <f>IFERROR(__xludf.DUMMYFUNCTION("""COMPUTED_VALUE"""),0.0)</f>
        <v>0</v>
      </c>
      <c r="L101" s="31" t="str">
        <f>IFERROR(__xludf.DUMMYFUNCTION("""COMPUTED_VALUE"""),"")</f>
        <v/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>
      <c r="A102" s="2"/>
      <c r="B102" s="5">
        <f>IFERROR(__xludf.DUMMYFUNCTION("""COMPUTED_VALUE"""),100.0)</f>
        <v>100</v>
      </c>
      <c r="C102" s="5"/>
      <c r="D102" s="5"/>
      <c r="E102" s="5"/>
      <c r="F102" s="5"/>
      <c r="G102" s="42"/>
      <c r="H102" s="42"/>
      <c r="I102" s="42"/>
      <c r="J102" s="45"/>
      <c r="K102" s="46">
        <f>IFERROR(__xludf.DUMMYFUNCTION("""COMPUTED_VALUE"""),0.0)</f>
        <v>0</v>
      </c>
      <c r="L102" s="42" t="str">
        <f>IFERROR(__xludf.DUMMYFUNCTION("""COMPUTED_VALUE"""),"")</f>
        <v/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>
      <c r="A103" s="2"/>
      <c r="B103" s="4"/>
      <c r="C103" s="4"/>
      <c r="D103" s="4"/>
      <c r="E103" s="4"/>
      <c r="F103" s="4"/>
      <c r="G103" s="6"/>
      <c r="H103" s="6"/>
      <c r="I103" s="6"/>
      <c r="J103" s="6"/>
      <c r="K103" s="6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>
      <c r="A104" s="2"/>
      <c r="B104" s="4"/>
      <c r="C104" s="4"/>
      <c r="D104" s="4"/>
      <c r="E104" s="4"/>
      <c r="F104" s="4"/>
      <c r="G104" s="6"/>
      <c r="H104" s="6"/>
      <c r="I104" s="6"/>
      <c r="J104" s="6"/>
      <c r="K104" s="6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>
      <c r="A105" s="2"/>
      <c r="B105" s="4"/>
      <c r="C105" s="4"/>
      <c r="D105" s="4"/>
      <c r="E105" s="4"/>
      <c r="F105" s="4"/>
      <c r="G105" s="6"/>
      <c r="H105" s="6"/>
      <c r="I105" s="6"/>
      <c r="J105" s="6"/>
      <c r="K105" s="6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>
      <c r="A106" s="2"/>
      <c r="B106" s="4"/>
      <c r="C106" s="4"/>
      <c r="D106" s="4"/>
      <c r="E106" s="4"/>
      <c r="F106" s="4"/>
      <c r="G106" s="6"/>
      <c r="H106" s="6"/>
      <c r="I106" s="6"/>
      <c r="J106" s="6"/>
      <c r="K106" s="6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>
      <c r="A107" s="2"/>
      <c r="B107" s="4"/>
      <c r="C107" s="4"/>
      <c r="D107" s="4"/>
      <c r="E107" s="4"/>
      <c r="F107" s="4"/>
      <c r="G107" s="6"/>
      <c r="H107" s="6"/>
      <c r="I107" s="6"/>
      <c r="J107" s="6"/>
      <c r="K107" s="6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>
      <c r="A108" s="2"/>
      <c r="B108" s="4"/>
      <c r="C108" s="4"/>
      <c r="D108" s="4"/>
      <c r="E108" s="4"/>
      <c r="F108" s="4"/>
      <c r="G108" s="6"/>
      <c r="H108" s="6"/>
      <c r="I108" s="6"/>
      <c r="J108" s="6"/>
      <c r="K108" s="6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>
      <c r="A109" s="2"/>
      <c r="B109" s="4"/>
      <c r="C109" s="4"/>
      <c r="D109" s="4"/>
      <c r="E109" s="4"/>
      <c r="F109" s="4"/>
      <c r="G109" s="6"/>
      <c r="H109" s="6"/>
      <c r="I109" s="6"/>
      <c r="J109" s="6"/>
      <c r="K109" s="6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>
      <c r="A110" s="2"/>
      <c r="B110" s="4"/>
      <c r="C110" s="4"/>
      <c r="D110" s="4"/>
      <c r="E110" s="4"/>
      <c r="F110" s="4"/>
      <c r="G110" s="6"/>
      <c r="H110" s="6"/>
      <c r="I110" s="6"/>
      <c r="J110" s="6"/>
      <c r="K110" s="6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>
      <c r="A111" s="2"/>
      <c r="B111" s="4"/>
      <c r="C111" s="4"/>
      <c r="D111" s="4"/>
      <c r="E111" s="4"/>
      <c r="F111" s="4"/>
      <c r="G111" s="6"/>
      <c r="H111" s="6"/>
      <c r="I111" s="6"/>
      <c r="J111" s="6"/>
      <c r="K111" s="6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>
      <c r="A112" s="2"/>
      <c r="B112" s="4"/>
      <c r="C112" s="4"/>
      <c r="D112" s="4"/>
      <c r="E112" s="4"/>
      <c r="F112" s="4"/>
      <c r="G112" s="6"/>
      <c r="H112" s="6"/>
      <c r="I112" s="6"/>
      <c r="J112" s="6"/>
      <c r="K112" s="6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>
      <c r="A113" s="2"/>
      <c r="B113" s="4"/>
      <c r="C113" s="4"/>
      <c r="D113" s="4"/>
      <c r="E113" s="4"/>
      <c r="F113" s="4"/>
      <c r="G113" s="6"/>
      <c r="H113" s="6"/>
      <c r="I113" s="6"/>
      <c r="J113" s="6"/>
      <c r="K113" s="6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>
      <c r="A114" s="2"/>
      <c r="B114" s="4"/>
      <c r="C114" s="4"/>
      <c r="D114" s="4"/>
      <c r="E114" s="4"/>
      <c r="F114" s="4"/>
      <c r="G114" s="6"/>
      <c r="H114" s="6"/>
      <c r="I114" s="6"/>
      <c r="J114" s="6"/>
      <c r="K114" s="6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>
      <c r="A115" s="2"/>
      <c r="B115" s="4"/>
      <c r="C115" s="4"/>
      <c r="D115" s="4"/>
      <c r="E115" s="4"/>
      <c r="F115" s="4"/>
      <c r="G115" s="6"/>
      <c r="H115" s="6"/>
      <c r="I115" s="6"/>
      <c r="J115" s="6"/>
      <c r="K115" s="6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>
      <c r="A116" s="2"/>
      <c r="B116" s="4"/>
      <c r="C116" s="4"/>
      <c r="D116" s="4"/>
      <c r="E116" s="4"/>
      <c r="F116" s="4"/>
      <c r="G116" s="6"/>
      <c r="H116" s="6"/>
      <c r="I116" s="6"/>
      <c r="J116" s="6"/>
      <c r="K116" s="6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>
      <c r="A117" s="2"/>
      <c r="B117" s="4"/>
      <c r="C117" s="4"/>
      <c r="D117" s="4"/>
      <c r="E117" s="4"/>
      <c r="F117" s="4"/>
      <c r="G117" s="6"/>
      <c r="H117" s="6"/>
      <c r="I117" s="6"/>
      <c r="J117" s="6"/>
      <c r="K117" s="6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>
      <c r="A118" s="2"/>
      <c r="B118" s="4"/>
      <c r="C118" s="4"/>
      <c r="D118" s="4"/>
      <c r="E118" s="4"/>
      <c r="F118" s="4"/>
      <c r="G118" s="6"/>
      <c r="H118" s="6"/>
      <c r="I118" s="6"/>
      <c r="J118" s="6"/>
      <c r="K118" s="6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>
      <c r="A119" s="2"/>
      <c r="B119" s="4"/>
      <c r="C119" s="4"/>
      <c r="D119" s="4"/>
      <c r="E119" s="4"/>
      <c r="F119" s="4"/>
      <c r="G119" s="6"/>
      <c r="H119" s="6"/>
      <c r="I119" s="6"/>
      <c r="J119" s="6"/>
      <c r="K119" s="6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>
      <c r="A120" s="2"/>
      <c r="B120" s="4"/>
      <c r="C120" s="4"/>
      <c r="D120" s="4"/>
      <c r="E120" s="4"/>
      <c r="F120" s="4"/>
      <c r="G120" s="6"/>
      <c r="H120" s="6"/>
      <c r="I120" s="6"/>
      <c r="J120" s="6"/>
      <c r="K120" s="6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>
      <c r="A121" s="2"/>
      <c r="B121" s="4"/>
      <c r="C121" s="4"/>
      <c r="D121" s="4"/>
      <c r="E121" s="4"/>
      <c r="F121" s="4"/>
      <c r="G121" s="6"/>
      <c r="H121" s="6"/>
      <c r="I121" s="6"/>
      <c r="J121" s="6"/>
      <c r="K121" s="6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>
      <c r="A122" s="2"/>
      <c r="B122" s="4"/>
      <c r="C122" s="4"/>
      <c r="D122" s="4"/>
      <c r="E122" s="4"/>
      <c r="F122" s="4"/>
      <c r="G122" s="6"/>
      <c r="H122" s="6"/>
      <c r="I122" s="6"/>
      <c r="J122" s="6"/>
      <c r="K122" s="6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>
      <c r="A123" s="2"/>
      <c r="B123" s="4"/>
      <c r="C123" s="4"/>
      <c r="D123" s="4"/>
      <c r="E123" s="4"/>
      <c r="F123" s="4"/>
      <c r="G123" s="6"/>
      <c r="H123" s="6"/>
      <c r="I123" s="6"/>
      <c r="J123" s="6"/>
      <c r="K123" s="6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>
      <c r="A124" s="2"/>
      <c r="B124" s="4"/>
      <c r="C124" s="4"/>
      <c r="D124" s="4"/>
      <c r="E124" s="4"/>
      <c r="F124" s="4"/>
      <c r="G124" s="6"/>
      <c r="H124" s="6"/>
      <c r="I124" s="6"/>
      <c r="J124" s="6"/>
      <c r="K124" s="6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>
      <c r="A125" s="2"/>
      <c r="B125" s="4"/>
      <c r="C125" s="4"/>
      <c r="D125" s="4"/>
      <c r="E125" s="4"/>
      <c r="F125" s="4"/>
      <c r="G125" s="6"/>
      <c r="H125" s="6"/>
      <c r="I125" s="6"/>
      <c r="J125" s="6"/>
      <c r="K125" s="6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>
      <c r="A126" s="2"/>
      <c r="B126" s="4"/>
      <c r="C126" s="4"/>
      <c r="D126" s="4"/>
      <c r="E126" s="4"/>
      <c r="F126" s="4"/>
      <c r="G126" s="6"/>
      <c r="H126" s="6"/>
      <c r="I126" s="6"/>
      <c r="J126" s="6"/>
      <c r="K126" s="6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>
      <c r="A127" s="2"/>
      <c r="B127" s="4"/>
      <c r="C127" s="4"/>
      <c r="D127" s="4"/>
      <c r="E127" s="4"/>
      <c r="F127" s="4"/>
      <c r="G127" s="6"/>
      <c r="H127" s="6"/>
      <c r="I127" s="6"/>
      <c r="J127" s="6"/>
      <c r="K127" s="6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>
      <c r="A128" s="2"/>
      <c r="B128" s="4"/>
      <c r="C128" s="4"/>
      <c r="D128" s="4"/>
      <c r="E128" s="4"/>
      <c r="F128" s="4"/>
      <c r="G128" s="6"/>
      <c r="H128" s="6"/>
      <c r="I128" s="6"/>
      <c r="J128" s="6"/>
      <c r="K128" s="6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>
      <c r="A129" s="2"/>
      <c r="B129" s="4"/>
      <c r="C129" s="4"/>
      <c r="D129" s="4"/>
      <c r="E129" s="4"/>
      <c r="F129" s="4"/>
      <c r="G129" s="6"/>
      <c r="H129" s="6"/>
      <c r="I129" s="6"/>
      <c r="J129" s="6"/>
      <c r="K129" s="6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>
      <c r="A130" s="2"/>
      <c r="B130" s="4"/>
      <c r="C130" s="4"/>
      <c r="D130" s="4"/>
      <c r="E130" s="4"/>
      <c r="F130" s="4"/>
      <c r="G130" s="6"/>
      <c r="H130" s="6"/>
      <c r="I130" s="6"/>
      <c r="J130" s="6"/>
      <c r="K130" s="6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>
      <c r="A131" s="2"/>
      <c r="B131" s="4"/>
      <c r="C131" s="4"/>
      <c r="D131" s="4"/>
      <c r="E131" s="4"/>
      <c r="F131" s="4"/>
      <c r="G131" s="6"/>
      <c r="H131" s="6"/>
      <c r="I131" s="6"/>
      <c r="J131" s="6"/>
      <c r="K131" s="6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>
      <c r="A132" s="2"/>
      <c r="B132" s="4"/>
      <c r="C132" s="4"/>
      <c r="D132" s="4"/>
      <c r="E132" s="4"/>
      <c r="F132" s="4"/>
      <c r="G132" s="6"/>
      <c r="H132" s="6"/>
      <c r="I132" s="6"/>
      <c r="J132" s="6"/>
      <c r="K132" s="6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>
      <c r="A133" s="2"/>
      <c r="B133" s="4"/>
      <c r="C133" s="4"/>
      <c r="D133" s="4"/>
      <c r="E133" s="4"/>
      <c r="F133" s="4"/>
      <c r="G133" s="6"/>
      <c r="H133" s="6"/>
      <c r="I133" s="6"/>
      <c r="J133" s="6"/>
      <c r="K133" s="6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>
      <c r="A134" s="2"/>
      <c r="B134" s="4"/>
      <c r="C134" s="4"/>
      <c r="D134" s="4"/>
      <c r="E134" s="4"/>
      <c r="F134" s="4"/>
      <c r="G134" s="6"/>
      <c r="H134" s="6"/>
      <c r="I134" s="6"/>
      <c r="J134" s="6"/>
      <c r="K134" s="6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>
      <c r="A135" s="2"/>
      <c r="B135" s="4"/>
      <c r="C135" s="4"/>
      <c r="D135" s="4"/>
      <c r="E135" s="4"/>
      <c r="F135" s="4"/>
      <c r="G135" s="6"/>
      <c r="H135" s="6"/>
      <c r="I135" s="6"/>
      <c r="J135" s="6"/>
      <c r="K135" s="6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>
      <c r="A136" s="2"/>
      <c r="B136" s="4"/>
      <c r="C136" s="4"/>
      <c r="D136" s="4"/>
      <c r="E136" s="4"/>
      <c r="F136" s="4"/>
      <c r="G136" s="6"/>
      <c r="H136" s="6"/>
      <c r="I136" s="6"/>
      <c r="J136" s="6"/>
      <c r="K136" s="6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>
      <c r="A137" s="2"/>
      <c r="B137" s="4"/>
      <c r="C137" s="4"/>
      <c r="D137" s="4"/>
      <c r="E137" s="4"/>
      <c r="F137" s="4"/>
      <c r="G137" s="6"/>
      <c r="H137" s="6"/>
      <c r="I137" s="6"/>
      <c r="J137" s="6"/>
      <c r="K137" s="6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>
      <c r="A138" s="2"/>
      <c r="B138" s="4"/>
      <c r="C138" s="4"/>
      <c r="D138" s="4"/>
      <c r="E138" s="4"/>
      <c r="F138" s="4"/>
      <c r="G138" s="6"/>
      <c r="H138" s="6"/>
      <c r="I138" s="6"/>
      <c r="J138" s="6"/>
      <c r="K138" s="6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>
      <c r="A139" s="2"/>
      <c r="B139" s="4"/>
      <c r="C139" s="4"/>
      <c r="D139" s="4"/>
      <c r="E139" s="4"/>
      <c r="F139" s="4"/>
      <c r="G139" s="6"/>
      <c r="H139" s="6"/>
      <c r="I139" s="6"/>
      <c r="J139" s="6"/>
      <c r="K139" s="6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>
      <c r="A140" s="2"/>
      <c r="B140" s="4"/>
      <c r="C140" s="4"/>
      <c r="D140" s="4"/>
      <c r="E140" s="4"/>
      <c r="F140" s="4"/>
      <c r="G140" s="6"/>
      <c r="H140" s="6"/>
      <c r="I140" s="6"/>
      <c r="J140" s="6"/>
      <c r="K140" s="6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>
      <c r="A141" s="2"/>
      <c r="B141" s="4"/>
      <c r="C141" s="4"/>
      <c r="D141" s="4"/>
      <c r="E141" s="4"/>
      <c r="F141" s="4"/>
      <c r="G141" s="6"/>
      <c r="H141" s="6"/>
      <c r="I141" s="6"/>
      <c r="J141" s="6"/>
      <c r="K141" s="6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>
      <c r="A142" s="2"/>
      <c r="B142" s="4"/>
      <c r="C142" s="4"/>
      <c r="D142" s="4"/>
      <c r="E142" s="4"/>
      <c r="F142" s="4"/>
      <c r="G142" s="6"/>
      <c r="H142" s="6"/>
      <c r="I142" s="6"/>
      <c r="J142" s="6"/>
      <c r="K142" s="6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>
      <c r="A143" s="2"/>
      <c r="B143" s="4"/>
      <c r="C143" s="4"/>
      <c r="D143" s="4"/>
      <c r="E143" s="4"/>
      <c r="F143" s="4"/>
      <c r="G143" s="6"/>
      <c r="H143" s="6"/>
      <c r="I143" s="6"/>
      <c r="J143" s="6"/>
      <c r="K143" s="6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>
      <c r="A144" s="2"/>
      <c r="B144" s="4"/>
      <c r="C144" s="4"/>
      <c r="D144" s="4"/>
      <c r="E144" s="4"/>
      <c r="F144" s="4"/>
      <c r="G144" s="6"/>
      <c r="H144" s="6"/>
      <c r="I144" s="6"/>
      <c r="J144" s="6"/>
      <c r="K144" s="6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>
      <c r="A145" s="2"/>
      <c r="B145" s="4"/>
      <c r="C145" s="4"/>
      <c r="D145" s="4"/>
      <c r="E145" s="4"/>
      <c r="F145" s="4"/>
      <c r="G145" s="6"/>
      <c r="H145" s="6"/>
      <c r="I145" s="6"/>
      <c r="J145" s="6"/>
      <c r="K145" s="6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>
      <c r="A146" s="2"/>
      <c r="B146" s="4"/>
      <c r="C146" s="4"/>
      <c r="D146" s="4"/>
      <c r="E146" s="4"/>
      <c r="F146" s="4"/>
      <c r="G146" s="6"/>
      <c r="H146" s="6"/>
      <c r="I146" s="6"/>
      <c r="J146" s="6"/>
      <c r="K146" s="6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>
      <c r="A147" s="2"/>
      <c r="B147" s="4"/>
      <c r="C147" s="4"/>
      <c r="D147" s="4"/>
      <c r="E147" s="4"/>
      <c r="F147" s="4"/>
      <c r="G147" s="6"/>
      <c r="H147" s="6"/>
      <c r="I147" s="6"/>
      <c r="J147" s="6"/>
      <c r="K147" s="6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>
      <c r="A148" s="2"/>
      <c r="B148" s="4"/>
      <c r="C148" s="4"/>
      <c r="D148" s="4"/>
      <c r="E148" s="4"/>
      <c r="F148" s="4"/>
      <c r="G148" s="6"/>
      <c r="H148" s="6"/>
      <c r="I148" s="6"/>
      <c r="J148" s="6"/>
      <c r="K148" s="6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>
      <c r="A149" s="2"/>
      <c r="B149" s="4"/>
      <c r="C149" s="4"/>
      <c r="D149" s="4"/>
      <c r="E149" s="4"/>
      <c r="F149" s="4"/>
      <c r="G149" s="6"/>
      <c r="H149" s="6"/>
      <c r="I149" s="6"/>
      <c r="J149" s="6"/>
      <c r="K149" s="6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>
      <c r="A150" s="2"/>
      <c r="B150" s="4"/>
      <c r="C150" s="4"/>
      <c r="D150" s="4"/>
      <c r="E150" s="4"/>
      <c r="F150" s="4"/>
      <c r="G150" s="6"/>
      <c r="H150" s="6"/>
      <c r="I150" s="6"/>
      <c r="J150" s="6"/>
      <c r="K150" s="6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>
      <c r="A151" s="2"/>
      <c r="B151" s="4"/>
      <c r="C151" s="4"/>
      <c r="D151" s="4"/>
      <c r="E151" s="4"/>
      <c r="F151" s="4"/>
      <c r="G151" s="6"/>
      <c r="H151" s="6"/>
      <c r="I151" s="6"/>
      <c r="J151" s="6"/>
      <c r="K151" s="6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>
      <c r="A152" s="2"/>
      <c r="B152" s="4"/>
      <c r="C152" s="4"/>
      <c r="D152" s="4"/>
      <c r="E152" s="4"/>
      <c r="F152" s="4"/>
      <c r="G152" s="6"/>
      <c r="H152" s="6"/>
      <c r="I152" s="6"/>
      <c r="J152" s="6"/>
      <c r="K152" s="6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>
      <c r="A153" s="2"/>
      <c r="B153" s="4"/>
      <c r="C153" s="4"/>
      <c r="D153" s="4"/>
      <c r="E153" s="4"/>
      <c r="F153" s="4"/>
      <c r="G153" s="6"/>
      <c r="H153" s="6"/>
      <c r="I153" s="6"/>
      <c r="J153" s="6"/>
      <c r="K153" s="6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>
      <c r="A154" s="2"/>
      <c r="B154" s="4"/>
      <c r="C154" s="4"/>
      <c r="D154" s="4"/>
      <c r="E154" s="4"/>
      <c r="F154" s="4"/>
      <c r="G154" s="6"/>
      <c r="H154" s="6"/>
      <c r="I154" s="6"/>
      <c r="J154" s="6"/>
      <c r="K154" s="6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>
      <c r="A155" s="2"/>
      <c r="B155" s="4"/>
      <c r="C155" s="4"/>
      <c r="D155" s="4"/>
      <c r="E155" s="4"/>
      <c r="F155" s="4"/>
      <c r="G155" s="6"/>
      <c r="H155" s="6"/>
      <c r="I155" s="6"/>
      <c r="J155" s="6"/>
      <c r="K155" s="6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>
      <c r="A156" s="2"/>
      <c r="B156" s="4"/>
      <c r="C156" s="4"/>
      <c r="D156" s="4"/>
      <c r="E156" s="4"/>
      <c r="F156" s="4"/>
      <c r="G156" s="6"/>
      <c r="H156" s="6"/>
      <c r="I156" s="6"/>
      <c r="J156" s="6"/>
      <c r="K156" s="6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>
      <c r="A157" s="2"/>
      <c r="B157" s="4"/>
      <c r="C157" s="4"/>
      <c r="D157" s="4"/>
      <c r="E157" s="4"/>
      <c r="F157" s="4"/>
      <c r="G157" s="6"/>
      <c r="H157" s="6"/>
      <c r="I157" s="6"/>
      <c r="J157" s="6"/>
      <c r="K157" s="6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>
      <c r="A158" s="2"/>
      <c r="B158" s="4"/>
      <c r="C158" s="4"/>
      <c r="D158" s="4"/>
      <c r="E158" s="4"/>
      <c r="F158" s="4"/>
      <c r="G158" s="6"/>
      <c r="H158" s="6"/>
      <c r="I158" s="6"/>
      <c r="J158" s="6"/>
      <c r="K158" s="6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>
      <c r="A159" s="2"/>
      <c r="B159" s="4"/>
      <c r="C159" s="4"/>
      <c r="D159" s="4"/>
      <c r="E159" s="4"/>
      <c r="F159" s="4"/>
      <c r="G159" s="6"/>
      <c r="H159" s="6"/>
      <c r="I159" s="6"/>
      <c r="J159" s="6"/>
      <c r="K159" s="6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>
      <c r="A160" s="2"/>
      <c r="B160" s="4"/>
      <c r="C160" s="4"/>
      <c r="D160" s="4"/>
      <c r="E160" s="4"/>
      <c r="F160" s="4"/>
      <c r="G160" s="6"/>
      <c r="H160" s="6"/>
      <c r="I160" s="6"/>
      <c r="J160" s="6"/>
      <c r="K160" s="6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>
      <c r="A161" s="2"/>
      <c r="B161" s="4"/>
      <c r="C161" s="4"/>
      <c r="D161" s="4"/>
      <c r="E161" s="4"/>
      <c r="F161" s="4"/>
      <c r="G161" s="6"/>
      <c r="H161" s="6"/>
      <c r="I161" s="6"/>
      <c r="J161" s="6"/>
      <c r="K161" s="6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>
      <c r="A162" s="2"/>
      <c r="B162" s="4"/>
      <c r="C162" s="4"/>
      <c r="D162" s="4"/>
      <c r="E162" s="4"/>
      <c r="F162" s="4"/>
      <c r="G162" s="6"/>
      <c r="H162" s="6"/>
      <c r="I162" s="6"/>
      <c r="J162" s="6"/>
      <c r="K162" s="6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>
      <c r="A163" s="2"/>
      <c r="B163" s="4"/>
      <c r="C163" s="4"/>
      <c r="D163" s="4"/>
      <c r="E163" s="4"/>
      <c r="F163" s="4"/>
      <c r="G163" s="6"/>
      <c r="H163" s="6"/>
      <c r="I163" s="6"/>
      <c r="J163" s="6"/>
      <c r="K163" s="6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>
      <c r="A164" s="2"/>
      <c r="B164" s="4"/>
      <c r="C164" s="4"/>
      <c r="D164" s="4"/>
      <c r="E164" s="4"/>
      <c r="F164" s="4"/>
      <c r="G164" s="6"/>
      <c r="H164" s="6"/>
      <c r="I164" s="6"/>
      <c r="J164" s="6"/>
      <c r="K164" s="6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>
      <c r="A165" s="2"/>
      <c r="B165" s="4"/>
      <c r="C165" s="4"/>
      <c r="D165" s="4"/>
      <c r="E165" s="4"/>
      <c r="F165" s="4"/>
      <c r="G165" s="6"/>
      <c r="H165" s="6"/>
      <c r="I165" s="6"/>
      <c r="J165" s="6"/>
      <c r="K165" s="6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>
      <c r="A166" s="2"/>
      <c r="B166" s="4"/>
      <c r="C166" s="4"/>
      <c r="D166" s="4"/>
      <c r="E166" s="4"/>
      <c r="F166" s="4"/>
      <c r="G166" s="6"/>
      <c r="H166" s="6"/>
      <c r="I166" s="6"/>
      <c r="J166" s="6"/>
      <c r="K166" s="6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>
      <c r="A167" s="2"/>
      <c r="B167" s="4"/>
      <c r="C167" s="4"/>
      <c r="D167" s="4"/>
      <c r="E167" s="4"/>
      <c r="F167" s="4"/>
      <c r="G167" s="6"/>
      <c r="H167" s="6"/>
      <c r="I167" s="6"/>
      <c r="J167" s="6"/>
      <c r="K167" s="6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>
      <c r="A168" s="2"/>
      <c r="B168" s="4"/>
      <c r="C168" s="4"/>
      <c r="D168" s="4"/>
      <c r="E168" s="4"/>
      <c r="F168" s="4"/>
      <c r="G168" s="6"/>
      <c r="H168" s="6"/>
      <c r="I168" s="6"/>
      <c r="J168" s="6"/>
      <c r="K168" s="6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>
      <c r="A169" s="2"/>
      <c r="B169" s="4"/>
      <c r="C169" s="4"/>
      <c r="D169" s="4"/>
      <c r="E169" s="4"/>
      <c r="F169" s="4"/>
      <c r="G169" s="6"/>
      <c r="H169" s="6"/>
      <c r="I169" s="6"/>
      <c r="J169" s="6"/>
      <c r="K169" s="6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>
      <c r="A170" s="2"/>
      <c r="B170" s="4"/>
      <c r="C170" s="4"/>
      <c r="D170" s="4"/>
      <c r="E170" s="4"/>
      <c r="F170" s="4"/>
      <c r="G170" s="6"/>
      <c r="H170" s="6"/>
      <c r="I170" s="6"/>
      <c r="J170" s="6"/>
      <c r="K170" s="6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>
      <c r="A171" s="2"/>
      <c r="B171" s="4"/>
      <c r="C171" s="4"/>
      <c r="D171" s="4"/>
      <c r="E171" s="4"/>
      <c r="F171" s="4"/>
      <c r="G171" s="6"/>
      <c r="H171" s="6"/>
      <c r="I171" s="6"/>
      <c r="J171" s="6"/>
      <c r="K171" s="6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>
      <c r="A172" s="2"/>
      <c r="B172" s="4"/>
      <c r="C172" s="4"/>
      <c r="D172" s="4"/>
      <c r="E172" s="4"/>
      <c r="F172" s="4"/>
      <c r="G172" s="6"/>
      <c r="H172" s="6"/>
      <c r="I172" s="6"/>
      <c r="J172" s="6"/>
      <c r="K172" s="6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>
      <c r="A173" s="2"/>
      <c r="B173" s="4"/>
      <c r="C173" s="4"/>
      <c r="D173" s="4"/>
      <c r="E173" s="4"/>
      <c r="F173" s="4"/>
      <c r="G173" s="6"/>
      <c r="H173" s="6"/>
      <c r="I173" s="6"/>
      <c r="J173" s="6"/>
      <c r="K173" s="6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>
      <c r="A174" s="2"/>
      <c r="B174" s="4"/>
      <c r="C174" s="4"/>
      <c r="D174" s="4"/>
      <c r="E174" s="4"/>
      <c r="F174" s="4"/>
      <c r="G174" s="6"/>
      <c r="H174" s="6"/>
      <c r="I174" s="6"/>
      <c r="J174" s="6"/>
      <c r="K174" s="6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>
      <c r="A175" s="2"/>
      <c r="B175" s="4"/>
      <c r="C175" s="4"/>
      <c r="D175" s="4"/>
      <c r="E175" s="4"/>
      <c r="F175" s="4"/>
      <c r="G175" s="6"/>
      <c r="H175" s="6"/>
      <c r="I175" s="6"/>
      <c r="J175" s="6"/>
      <c r="K175" s="6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>
      <c r="A176" s="2"/>
      <c r="B176" s="4"/>
      <c r="C176" s="4"/>
      <c r="D176" s="4"/>
      <c r="E176" s="4"/>
      <c r="F176" s="4"/>
      <c r="G176" s="6"/>
      <c r="H176" s="6"/>
      <c r="I176" s="6"/>
      <c r="J176" s="6"/>
      <c r="K176" s="6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>
      <c r="A177" s="2"/>
      <c r="B177" s="4"/>
      <c r="C177" s="4"/>
      <c r="D177" s="4"/>
      <c r="E177" s="4"/>
      <c r="F177" s="4"/>
      <c r="G177" s="6"/>
      <c r="H177" s="6"/>
      <c r="I177" s="6"/>
      <c r="J177" s="6"/>
      <c r="K177" s="6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>
      <c r="A178" s="2"/>
      <c r="B178" s="4"/>
      <c r="C178" s="4"/>
      <c r="D178" s="4"/>
      <c r="E178" s="4"/>
      <c r="F178" s="4"/>
      <c r="G178" s="6"/>
      <c r="H178" s="6"/>
      <c r="I178" s="6"/>
      <c r="J178" s="6"/>
      <c r="K178" s="6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>
      <c r="A179" s="2"/>
      <c r="B179" s="4"/>
      <c r="C179" s="4"/>
      <c r="D179" s="4"/>
      <c r="E179" s="4"/>
      <c r="F179" s="4"/>
      <c r="G179" s="6"/>
      <c r="H179" s="6"/>
      <c r="I179" s="6"/>
      <c r="J179" s="6"/>
      <c r="K179" s="6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>
      <c r="A180" s="2"/>
      <c r="B180" s="4"/>
      <c r="C180" s="4"/>
      <c r="D180" s="4"/>
      <c r="E180" s="4"/>
      <c r="F180" s="4"/>
      <c r="G180" s="6"/>
      <c r="H180" s="6"/>
      <c r="I180" s="6"/>
      <c r="J180" s="6"/>
      <c r="K180" s="6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>
      <c r="A181" s="2"/>
      <c r="B181" s="4"/>
      <c r="C181" s="4"/>
      <c r="D181" s="4"/>
      <c r="E181" s="4"/>
      <c r="F181" s="4"/>
      <c r="G181" s="6"/>
      <c r="H181" s="6"/>
      <c r="I181" s="6"/>
      <c r="J181" s="6"/>
      <c r="K181" s="6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>
      <c r="A182" s="2"/>
      <c r="B182" s="4"/>
      <c r="C182" s="4"/>
      <c r="D182" s="4"/>
      <c r="E182" s="4"/>
      <c r="F182" s="4"/>
      <c r="G182" s="6"/>
      <c r="H182" s="6"/>
      <c r="I182" s="6"/>
      <c r="J182" s="6"/>
      <c r="K182" s="6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>
      <c r="A183" s="2"/>
      <c r="B183" s="4"/>
      <c r="C183" s="4"/>
      <c r="D183" s="4"/>
      <c r="E183" s="4"/>
      <c r="F183" s="4"/>
      <c r="G183" s="6"/>
      <c r="H183" s="6"/>
      <c r="I183" s="6"/>
      <c r="J183" s="6"/>
      <c r="K183" s="6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>
      <c r="A184" s="2"/>
      <c r="B184" s="4"/>
      <c r="C184" s="4"/>
      <c r="D184" s="4"/>
      <c r="E184" s="4"/>
      <c r="F184" s="4"/>
      <c r="G184" s="6"/>
      <c r="H184" s="6"/>
      <c r="I184" s="6"/>
      <c r="J184" s="6"/>
      <c r="K184" s="6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>
      <c r="A185" s="2"/>
      <c r="B185" s="4"/>
      <c r="C185" s="4"/>
      <c r="D185" s="4"/>
      <c r="E185" s="4"/>
      <c r="F185" s="4"/>
      <c r="G185" s="6"/>
      <c r="H185" s="6"/>
      <c r="I185" s="6"/>
      <c r="J185" s="6"/>
      <c r="K185" s="6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>
      <c r="A186" s="2"/>
      <c r="B186" s="4"/>
      <c r="C186" s="4"/>
      <c r="D186" s="4"/>
      <c r="E186" s="4"/>
      <c r="F186" s="4"/>
      <c r="G186" s="6"/>
      <c r="H186" s="6"/>
      <c r="I186" s="6"/>
      <c r="J186" s="6"/>
      <c r="K186" s="6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>
      <c r="A187" s="2"/>
      <c r="B187" s="4"/>
      <c r="C187" s="4"/>
      <c r="D187" s="4"/>
      <c r="E187" s="4"/>
      <c r="F187" s="4"/>
      <c r="G187" s="6"/>
      <c r="H187" s="6"/>
      <c r="I187" s="6"/>
      <c r="J187" s="6"/>
      <c r="K187" s="6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>
      <c r="A188" s="2"/>
      <c r="B188" s="4"/>
      <c r="C188" s="4"/>
      <c r="D188" s="4"/>
      <c r="E188" s="4"/>
      <c r="F188" s="4"/>
      <c r="G188" s="6"/>
      <c r="H188" s="6"/>
      <c r="I188" s="6"/>
      <c r="J188" s="6"/>
      <c r="K188" s="6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>
      <c r="A189" s="2"/>
      <c r="B189" s="4"/>
      <c r="C189" s="4"/>
      <c r="D189" s="4"/>
      <c r="E189" s="4"/>
      <c r="F189" s="4"/>
      <c r="G189" s="6"/>
      <c r="H189" s="6"/>
      <c r="I189" s="6"/>
      <c r="J189" s="6"/>
      <c r="K189" s="6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>
      <c r="A190" s="2"/>
      <c r="B190" s="4"/>
      <c r="C190" s="4"/>
      <c r="D190" s="4"/>
      <c r="E190" s="4"/>
      <c r="F190" s="4"/>
      <c r="G190" s="6"/>
      <c r="H190" s="6"/>
      <c r="I190" s="6"/>
      <c r="J190" s="6"/>
      <c r="K190" s="6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>
      <c r="A191" s="2"/>
      <c r="B191" s="4"/>
      <c r="C191" s="4"/>
      <c r="D191" s="4"/>
      <c r="E191" s="4"/>
      <c r="F191" s="4"/>
      <c r="G191" s="6"/>
      <c r="H191" s="6"/>
      <c r="I191" s="6"/>
      <c r="J191" s="6"/>
      <c r="K191" s="6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>
      <c r="A192" s="2"/>
      <c r="B192" s="4"/>
      <c r="C192" s="4"/>
      <c r="D192" s="4"/>
      <c r="E192" s="4"/>
      <c r="F192" s="4"/>
      <c r="G192" s="6"/>
      <c r="H192" s="6"/>
      <c r="I192" s="6"/>
      <c r="J192" s="6"/>
      <c r="K192" s="6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>
      <c r="A193" s="2"/>
      <c r="B193" s="4"/>
      <c r="C193" s="4"/>
      <c r="D193" s="4"/>
      <c r="E193" s="4"/>
      <c r="F193" s="4"/>
      <c r="G193" s="6"/>
      <c r="H193" s="6"/>
      <c r="I193" s="6"/>
      <c r="J193" s="6"/>
      <c r="K193" s="6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>
      <c r="A194" s="2"/>
      <c r="B194" s="4"/>
      <c r="C194" s="4"/>
      <c r="D194" s="4"/>
      <c r="E194" s="4"/>
      <c r="F194" s="4"/>
      <c r="G194" s="6"/>
      <c r="H194" s="6"/>
      <c r="I194" s="6"/>
      <c r="J194" s="6"/>
      <c r="K194" s="6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>
      <c r="A195" s="2"/>
      <c r="B195" s="4"/>
      <c r="C195" s="4"/>
      <c r="D195" s="4"/>
      <c r="E195" s="4"/>
      <c r="F195" s="4"/>
      <c r="G195" s="6"/>
      <c r="H195" s="6"/>
      <c r="I195" s="6"/>
      <c r="J195" s="6"/>
      <c r="K195" s="6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>
      <c r="A196" s="2"/>
      <c r="B196" s="4"/>
      <c r="C196" s="4"/>
      <c r="D196" s="4"/>
      <c r="E196" s="4"/>
      <c r="F196" s="4"/>
      <c r="G196" s="6"/>
      <c r="H196" s="6"/>
      <c r="I196" s="6"/>
      <c r="J196" s="6"/>
      <c r="K196" s="6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>
      <c r="A197" s="2"/>
      <c r="B197" s="4"/>
      <c r="C197" s="4"/>
      <c r="D197" s="4"/>
      <c r="E197" s="4"/>
      <c r="F197" s="4"/>
      <c r="G197" s="6"/>
      <c r="H197" s="6"/>
      <c r="I197" s="6"/>
      <c r="J197" s="6"/>
      <c r="K197" s="6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>
      <c r="A198" s="2"/>
      <c r="B198" s="4"/>
      <c r="C198" s="4"/>
      <c r="D198" s="4"/>
      <c r="E198" s="4"/>
      <c r="F198" s="4"/>
      <c r="G198" s="6"/>
      <c r="H198" s="6"/>
      <c r="I198" s="6"/>
      <c r="J198" s="6"/>
      <c r="K198" s="6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>
      <c r="A199" s="2"/>
      <c r="B199" s="4"/>
      <c r="C199" s="4"/>
      <c r="D199" s="4"/>
      <c r="E199" s="4"/>
      <c r="F199" s="4"/>
      <c r="G199" s="6"/>
      <c r="H199" s="6"/>
      <c r="I199" s="6"/>
      <c r="J199" s="6"/>
      <c r="K199" s="6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>
      <c r="A200" s="2"/>
      <c r="B200" s="4"/>
      <c r="C200" s="4"/>
      <c r="D200" s="4"/>
      <c r="E200" s="4"/>
      <c r="F200" s="4"/>
      <c r="G200" s="6"/>
      <c r="H200" s="6"/>
      <c r="I200" s="6"/>
      <c r="J200" s="6"/>
      <c r="K200" s="6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>
      <c r="A201" s="2"/>
      <c r="B201" s="4"/>
      <c r="C201" s="4"/>
      <c r="D201" s="4"/>
      <c r="E201" s="4"/>
      <c r="F201" s="4"/>
      <c r="G201" s="6"/>
      <c r="H201" s="6"/>
      <c r="I201" s="6"/>
      <c r="J201" s="6"/>
      <c r="K201" s="6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>
      <c r="A202" s="2"/>
      <c r="B202" s="4"/>
      <c r="C202" s="4"/>
      <c r="D202" s="4"/>
      <c r="E202" s="4"/>
      <c r="F202" s="4"/>
      <c r="G202" s="6"/>
      <c r="H202" s="6"/>
      <c r="I202" s="6"/>
      <c r="J202" s="6"/>
      <c r="K202" s="6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>
      <c r="A203" s="2"/>
      <c r="B203" s="4"/>
      <c r="C203" s="4"/>
      <c r="D203" s="4"/>
      <c r="E203" s="4"/>
      <c r="F203" s="4"/>
      <c r="G203" s="6"/>
      <c r="H203" s="6"/>
      <c r="I203" s="6"/>
      <c r="J203" s="6"/>
      <c r="K203" s="6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>
      <c r="A204" s="2"/>
      <c r="B204" s="4"/>
      <c r="C204" s="4"/>
      <c r="D204" s="4"/>
      <c r="E204" s="4"/>
      <c r="F204" s="4"/>
      <c r="G204" s="6"/>
      <c r="H204" s="6"/>
      <c r="I204" s="6"/>
      <c r="J204" s="6"/>
      <c r="K204" s="6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>
      <c r="A205" s="2"/>
      <c r="B205" s="4"/>
      <c r="C205" s="4"/>
      <c r="D205" s="4"/>
      <c r="E205" s="4"/>
      <c r="F205" s="4"/>
      <c r="G205" s="6"/>
      <c r="H205" s="6"/>
      <c r="I205" s="6"/>
      <c r="J205" s="6"/>
      <c r="K205" s="6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>
      <c r="A206" s="2"/>
      <c r="B206" s="4"/>
      <c r="C206" s="4"/>
      <c r="D206" s="4"/>
      <c r="E206" s="4"/>
      <c r="F206" s="4"/>
      <c r="G206" s="6"/>
      <c r="H206" s="6"/>
      <c r="I206" s="6"/>
      <c r="J206" s="6"/>
      <c r="K206" s="6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>
      <c r="A207" s="2"/>
      <c r="B207" s="4"/>
      <c r="C207" s="4"/>
      <c r="D207" s="4"/>
      <c r="E207" s="4"/>
      <c r="F207" s="4"/>
      <c r="G207" s="6"/>
      <c r="H207" s="6"/>
      <c r="I207" s="6"/>
      <c r="J207" s="6"/>
      <c r="K207" s="6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>
      <c r="A208" s="2"/>
      <c r="B208" s="4"/>
      <c r="C208" s="4"/>
      <c r="D208" s="4"/>
      <c r="E208" s="4"/>
      <c r="F208" s="4"/>
      <c r="G208" s="6"/>
      <c r="H208" s="6"/>
      <c r="I208" s="6"/>
      <c r="J208" s="6"/>
      <c r="K208" s="6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>
      <c r="A209" s="2"/>
      <c r="B209" s="4"/>
      <c r="C209" s="4"/>
      <c r="D209" s="4"/>
      <c r="E209" s="4"/>
      <c r="F209" s="4"/>
      <c r="G209" s="6"/>
      <c r="H209" s="6"/>
      <c r="I209" s="6"/>
      <c r="J209" s="6"/>
      <c r="K209" s="6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>
      <c r="A210" s="2"/>
      <c r="B210" s="4"/>
      <c r="C210" s="4"/>
      <c r="D210" s="4"/>
      <c r="E210" s="4"/>
      <c r="F210" s="4"/>
      <c r="G210" s="6"/>
      <c r="H210" s="6"/>
      <c r="I210" s="6"/>
      <c r="J210" s="6"/>
      <c r="K210" s="6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>
      <c r="A211" s="2"/>
      <c r="B211" s="4"/>
      <c r="C211" s="4"/>
      <c r="D211" s="4"/>
      <c r="E211" s="4"/>
      <c r="F211" s="4"/>
      <c r="G211" s="6"/>
      <c r="H211" s="6"/>
      <c r="I211" s="6"/>
      <c r="J211" s="6"/>
      <c r="K211" s="6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>
      <c r="A212" s="2"/>
      <c r="B212" s="4"/>
      <c r="C212" s="4"/>
      <c r="D212" s="4"/>
      <c r="E212" s="4"/>
      <c r="F212" s="4"/>
      <c r="G212" s="6"/>
      <c r="H212" s="6"/>
      <c r="I212" s="6"/>
      <c r="J212" s="6"/>
      <c r="K212" s="6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>
      <c r="A213" s="2"/>
      <c r="B213" s="4"/>
      <c r="C213" s="4"/>
      <c r="D213" s="4"/>
      <c r="E213" s="4"/>
      <c r="F213" s="4"/>
      <c r="G213" s="6"/>
      <c r="H213" s="6"/>
      <c r="I213" s="6"/>
      <c r="J213" s="6"/>
      <c r="K213" s="6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>
      <c r="A214" s="2"/>
      <c r="B214" s="4"/>
      <c r="C214" s="4"/>
      <c r="D214" s="4"/>
      <c r="E214" s="4"/>
      <c r="F214" s="4"/>
      <c r="G214" s="6"/>
      <c r="H214" s="6"/>
      <c r="I214" s="6"/>
      <c r="J214" s="6"/>
      <c r="K214" s="6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>
      <c r="A215" s="2"/>
      <c r="B215" s="4"/>
      <c r="C215" s="4"/>
      <c r="D215" s="4"/>
      <c r="E215" s="4"/>
      <c r="F215" s="4"/>
      <c r="G215" s="6"/>
      <c r="H215" s="6"/>
      <c r="I215" s="6"/>
      <c r="J215" s="6"/>
      <c r="K215" s="6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>
      <c r="A216" s="2"/>
      <c r="B216" s="4"/>
      <c r="C216" s="4"/>
      <c r="D216" s="4"/>
      <c r="E216" s="4"/>
      <c r="F216" s="4"/>
      <c r="G216" s="6"/>
      <c r="H216" s="6"/>
      <c r="I216" s="6"/>
      <c r="J216" s="6"/>
      <c r="K216" s="6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>
      <c r="A217" s="2"/>
      <c r="B217" s="4"/>
      <c r="C217" s="4"/>
      <c r="D217" s="4"/>
      <c r="E217" s="4"/>
      <c r="F217" s="4"/>
      <c r="G217" s="6"/>
      <c r="H217" s="6"/>
      <c r="I217" s="6"/>
      <c r="J217" s="6"/>
      <c r="K217" s="6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>
      <c r="A218" s="2"/>
      <c r="B218" s="4"/>
      <c r="C218" s="4"/>
      <c r="D218" s="4"/>
      <c r="E218" s="4"/>
      <c r="F218" s="4"/>
      <c r="G218" s="6"/>
      <c r="H218" s="6"/>
      <c r="I218" s="6"/>
      <c r="J218" s="6"/>
      <c r="K218" s="6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>
      <c r="A219" s="2"/>
      <c r="B219" s="4"/>
      <c r="C219" s="4"/>
      <c r="D219" s="4"/>
      <c r="E219" s="4"/>
      <c r="F219" s="4"/>
      <c r="G219" s="6"/>
      <c r="H219" s="6"/>
      <c r="I219" s="6"/>
      <c r="J219" s="6"/>
      <c r="K219" s="6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>
      <c r="A220" s="2"/>
      <c r="B220" s="4"/>
      <c r="C220" s="4"/>
      <c r="D220" s="4"/>
      <c r="E220" s="4"/>
      <c r="F220" s="4"/>
      <c r="G220" s="6"/>
      <c r="H220" s="6"/>
      <c r="I220" s="6"/>
      <c r="J220" s="6"/>
      <c r="K220" s="6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>
      <c r="A221" s="2"/>
      <c r="B221" s="4"/>
      <c r="C221" s="4"/>
      <c r="D221" s="4"/>
      <c r="E221" s="4"/>
      <c r="F221" s="4"/>
      <c r="G221" s="6"/>
      <c r="H221" s="6"/>
      <c r="I221" s="6"/>
      <c r="J221" s="6"/>
      <c r="K221" s="6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>
      <c r="A222" s="2"/>
      <c r="B222" s="4"/>
      <c r="C222" s="4"/>
      <c r="D222" s="4"/>
      <c r="E222" s="4"/>
      <c r="F222" s="4"/>
      <c r="G222" s="6"/>
      <c r="H222" s="6"/>
      <c r="I222" s="6"/>
      <c r="J222" s="6"/>
      <c r="K222" s="6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>
      <c r="A223" s="2"/>
      <c r="B223" s="4"/>
      <c r="C223" s="4"/>
      <c r="D223" s="4"/>
      <c r="E223" s="4"/>
      <c r="F223" s="4"/>
      <c r="G223" s="6"/>
      <c r="H223" s="6"/>
      <c r="I223" s="6"/>
      <c r="J223" s="6"/>
      <c r="K223" s="6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>
      <c r="A224" s="2"/>
      <c r="B224" s="4"/>
      <c r="C224" s="4"/>
      <c r="D224" s="4"/>
      <c r="E224" s="4"/>
      <c r="F224" s="4"/>
      <c r="G224" s="6"/>
      <c r="H224" s="6"/>
      <c r="I224" s="6"/>
      <c r="J224" s="6"/>
      <c r="K224" s="6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>
      <c r="A225" s="2"/>
      <c r="B225" s="4"/>
      <c r="C225" s="4"/>
      <c r="D225" s="4"/>
      <c r="E225" s="4"/>
      <c r="F225" s="4"/>
      <c r="G225" s="6"/>
      <c r="H225" s="6"/>
      <c r="I225" s="6"/>
      <c r="J225" s="6"/>
      <c r="K225" s="6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>
      <c r="A226" s="2"/>
      <c r="B226" s="4"/>
      <c r="C226" s="4"/>
      <c r="D226" s="4"/>
      <c r="E226" s="4"/>
      <c r="F226" s="4"/>
      <c r="G226" s="6"/>
      <c r="H226" s="6"/>
      <c r="I226" s="6"/>
      <c r="J226" s="6"/>
      <c r="K226" s="6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>
      <c r="A227" s="2"/>
      <c r="B227" s="4"/>
      <c r="C227" s="4"/>
      <c r="D227" s="4"/>
      <c r="E227" s="4"/>
      <c r="F227" s="4"/>
      <c r="G227" s="6"/>
      <c r="H227" s="6"/>
      <c r="I227" s="6"/>
      <c r="J227" s="6"/>
      <c r="K227" s="6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>
      <c r="A228" s="2"/>
      <c r="B228" s="4"/>
      <c r="C228" s="4"/>
      <c r="D228" s="4"/>
      <c r="E228" s="4"/>
      <c r="F228" s="4"/>
      <c r="G228" s="6"/>
      <c r="H228" s="6"/>
      <c r="I228" s="6"/>
      <c r="J228" s="6"/>
      <c r="K228" s="6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>
      <c r="A229" s="2"/>
      <c r="B229" s="4"/>
      <c r="C229" s="4"/>
      <c r="D229" s="4"/>
      <c r="E229" s="4"/>
      <c r="F229" s="4"/>
      <c r="G229" s="6"/>
      <c r="H229" s="6"/>
      <c r="I229" s="6"/>
      <c r="J229" s="6"/>
      <c r="K229" s="6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>
      <c r="A230" s="2"/>
      <c r="B230" s="4"/>
      <c r="C230" s="4"/>
      <c r="D230" s="4"/>
      <c r="E230" s="4"/>
      <c r="F230" s="4"/>
      <c r="G230" s="6"/>
      <c r="H230" s="6"/>
      <c r="I230" s="6"/>
      <c r="J230" s="6"/>
      <c r="K230" s="6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>
      <c r="A231" s="2"/>
      <c r="B231" s="4"/>
      <c r="C231" s="4"/>
      <c r="D231" s="4"/>
      <c r="E231" s="4"/>
      <c r="F231" s="4"/>
      <c r="G231" s="6"/>
      <c r="H231" s="6"/>
      <c r="I231" s="6"/>
      <c r="J231" s="6"/>
      <c r="K231" s="6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>
      <c r="A232" s="2"/>
      <c r="B232" s="4"/>
      <c r="C232" s="4"/>
      <c r="D232" s="4"/>
      <c r="E232" s="4"/>
      <c r="F232" s="4"/>
      <c r="G232" s="6"/>
      <c r="H232" s="6"/>
      <c r="I232" s="6"/>
      <c r="J232" s="6"/>
      <c r="K232" s="6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>
      <c r="A233" s="2"/>
      <c r="B233" s="4"/>
      <c r="C233" s="4"/>
      <c r="D233" s="4"/>
      <c r="E233" s="4"/>
      <c r="F233" s="4"/>
      <c r="G233" s="6"/>
      <c r="H233" s="6"/>
      <c r="I233" s="6"/>
      <c r="J233" s="6"/>
      <c r="K233" s="6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>
      <c r="A234" s="2"/>
      <c r="B234" s="4"/>
      <c r="C234" s="4"/>
      <c r="D234" s="4"/>
      <c r="E234" s="4"/>
      <c r="F234" s="4"/>
      <c r="G234" s="6"/>
      <c r="H234" s="6"/>
      <c r="I234" s="6"/>
      <c r="J234" s="6"/>
      <c r="K234" s="6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>
      <c r="A235" s="2"/>
      <c r="B235" s="4"/>
      <c r="C235" s="4"/>
      <c r="D235" s="4"/>
      <c r="E235" s="4"/>
      <c r="F235" s="4"/>
      <c r="G235" s="6"/>
      <c r="H235" s="6"/>
      <c r="I235" s="6"/>
      <c r="J235" s="6"/>
      <c r="K235" s="6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>
      <c r="A236" s="2"/>
      <c r="B236" s="4"/>
      <c r="C236" s="4"/>
      <c r="D236" s="4"/>
      <c r="E236" s="4"/>
      <c r="F236" s="4"/>
      <c r="G236" s="6"/>
      <c r="H236" s="6"/>
      <c r="I236" s="6"/>
      <c r="J236" s="6"/>
      <c r="K236" s="6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>
      <c r="A237" s="2"/>
      <c r="B237" s="4"/>
      <c r="C237" s="4"/>
      <c r="D237" s="4"/>
      <c r="E237" s="4"/>
      <c r="F237" s="4"/>
      <c r="G237" s="6"/>
      <c r="H237" s="6"/>
      <c r="I237" s="6"/>
      <c r="J237" s="6"/>
      <c r="K237" s="6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>
      <c r="A238" s="2"/>
      <c r="B238" s="4"/>
      <c r="C238" s="4"/>
      <c r="D238" s="4"/>
      <c r="E238" s="4"/>
      <c r="F238" s="4"/>
      <c r="G238" s="6"/>
      <c r="H238" s="6"/>
      <c r="I238" s="6"/>
      <c r="J238" s="6"/>
      <c r="K238" s="6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>
      <c r="A239" s="2"/>
      <c r="B239" s="4"/>
      <c r="C239" s="4"/>
      <c r="D239" s="4"/>
      <c r="E239" s="4"/>
      <c r="F239" s="4"/>
      <c r="G239" s="6"/>
      <c r="H239" s="6"/>
      <c r="I239" s="6"/>
      <c r="J239" s="6"/>
      <c r="K239" s="6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>
      <c r="A240" s="2"/>
      <c r="B240" s="4"/>
      <c r="C240" s="4"/>
      <c r="D240" s="4"/>
      <c r="E240" s="4"/>
      <c r="F240" s="4"/>
      <c r="G240" s="6"/>
      <c r="H240" s="6"/>
      <c r="I240" s="6"/>
      <c r="J240" s="6"/>
      <c r="K240" s="6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>
      <c r="A241" s="2"/>
      <c r="B241" s="4"/>
      <c r="C241" s="4"/>
      <c r="D241" s="4"/>
      <c r="E241" s="4"/>
      <c r="F241" s="4"/>
      <c r="G241" s="6"/>
      <c r="H241" s="6"/>
      <c r="I241" s="6"/>
      <c r="J241" s="6"/>
      <c r="K241" s="6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>
      <c r="A242" s="2"/>
      <c r="B242" s="4"/>
      <c r="C242" s="4"/>
      <c r="D242" s="4"/>
      <c r="E242" s="4"/>
      <c r="F242" s="4"/>
      <c r="G242" s="6"/>
      <c r="H242" s="6"/>
      <c r="I242" s="6"/>
      <c r="J242" s="6"/>
      <c r="K242" s="6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>
      <c r="A243" s="2"/>
      <c r="B243" s="4"/>
      <c r="C243" s="4"/>
      <c r="D243" s="4"/>
      <c r="E243" s="4"/>
      <c r="F243" s="4"/>
      <c r="G243" s="6"/>
      <c r="H243" s="6"/>
      <c r="I243" s="6"/>
      <c r="J243" s="6"/>
      <c r="K243" s="6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>
      <c r="A244" s="2"/>
      <c r="B244" s="4"/>
      <c r="C244" s="4"/>
      <c r="D244" s="4"/>
      <c r="E244" s="4"/>
      <c r="F244" s="4"/>
      <c r="G244" s="6"/>
      <c r="H244" s="6"/>
      <c r="I244" s="6"/>
      <c r="J244" s="6"/>
      <c r="K244" s="6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>
      <c r="A245" s="2"/>
      <c r="B245" s="4"/>
      <c r="C245" s="4"/>
      <c r="D245" s="4"/>
      <c r="E245" s="4"/>
      <c r="F245" s="4"/>
      <c r="G245" s="6"/>
      <c r="H245" s="6"/>
      <c r="I245" s="6"/>
      <c r="J245" s="6"/>
      <c r="K245" s="6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>
      <c r="A246" s="2"/>
      <c r="B246" s="4"/>
      <c r="C246" s="4"/>
      <c r="D246" s="4"/>
      <c r="E246" s="4"/>
      <c r="F246" s="4"/>
      <c r="G246" s="6"/>
      <c r="H246" s="6"/>
      <c r="I246" s="6"/>
      <c r="J246" s="6"/>
      <c r="K246" s="6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>
      <c r="A247" s="2"/>
      <c r="B247" s="4"/>
      <c r="C247" s="4"/>
      <c r="D247" s="4"/>
      <c r="E247" s="4"/>
      <c r="F247" s="4"/>
      <c r="G247" s="6"/>
      <c r="H247" s="6"/>
      <c r="I247" s="6"/>
      <c r="J247" s="6"/>
      <c r="K247" s="6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>
      <c r="A248" s="2"/>
      <c r="B248" s="4"/>
      <c r="C248" s="4"/>
      <c r="D248" s="4"/>
      <c r="E248" s="4"/>
      <c r="F248" s="4"/>
      <c r="G248" s="6"/>
      <c r="H248" s="6"/>
      <c r="I248" s="6"/>
      <c r="J248" s="6"/>
      <c r="K248" s="6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>
      <c r="A249" s="2"/>
      <c r="B249" s="4"/>
      <c r="C249" s="4"/>
      <c r="D249" s="4"/>
      <c r="E249" s="4"/>
      <c r="F249" s="4"/>
      <c r="G249" s="6"/>
      <c r="H249" s="6"/>
      <c r="I249" s="6"/>
      <c r="J249" s="6"/>
      <c r="K249" s="6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>
      <c r="A250" s="2"/>
      <c r="B250" s="4"/>
      <c r="C250" s="4"/>
      <c r="D250" s="4"/>
      <c r="E250" s="4"/>
      <c r="F250" s="4"/>
      <c r="G250" s="6"/>
      <c r="H250" s="6"/>
      <c r="I250" s="6"/>
      <c r="J250" s="6"/>
      <c r="K250" s="6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>
      <c r="A251" s="2"/>
      <c r="B251" s="4"/>
      <c r="C251" s="4"/>
      <c r="D251" s="4"/>
      <c r="E251" s="4"/>
      <c r="F251" s="4"/>
      <c r="G251" s="6"/>
      <c r="H251" s="6"/>
      <c r="I251" s="6"/>
      <c r="J251" s="6"/>
      <c r="K251" s="6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>
      <c r="A252" s="2"/>
      <c r="B252" s="4"/>
      <c r="C252" s="4"/>
      <c r="D252" s="4"/>
      <c r="E252" s="4"/>
      <c r="F252" s="4"/>
      <c r="G252" s="6"/>
      <c r="H252" s="6"/>
      <c r="I252" s="6"/>
      <c r="J252" s="6"/>
      <c r="K252" s="6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>
      <c r="A253" s="2"/>
      <c r="B253" s="4"/>
      <c r="C253" s="4"/>
      <c r="D253" s="4"/>
      <c r="E253" s="4"/>
      <c r="F253" s="4"/>
      <c r="G253" s="6"/>
      <c r="H253" s="6"/>
      <c r="I253" s="6"/>
      <c r="J253" s="6"/>
      <c r="K253" s="6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>
      <c r="A254" s="2"/>
      <c r="B254" s="4"/>
      <c r="C254" s="4"/>
      <c r="D254" s="4"/>
      <c r="E254" s="4"/>
      <c r="F254" s="4"/>
      <c r="G254" s="6"/>
      <c r="H254" s="6"/>
      <c r="I254" s="6"/>
      <c r="J254" s="6"/>
      <c r="K254" s="6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>
      <c r="A255" s="2"/>
      <c r="B255" s="4"/>
      <c r="C255" s="4"/>
      <c r="D255" s="4"/>
      <c r="E255" s="4"/>
      <c r="F255" s="4"/>
      <c r="G255" s="6"/>
      <c r="H255" s="6"/>
      <c r="I255" s="6"/>
      <c r="J255" s="6"/>
      <c r="K255" s="6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>
      <c r="A256" s="2"/>
      <c r="B256" s="4"/>
      <c r="C256" s="4"/>
      <c r="D256" s="4"/>
      <c r="E256" s="4"/>
      <c r="F256" s="4"/>
      <c r="G256" s="6"/>
      <c r="H256" s="6"/>
      <c r="I256" s="6"/>
      <c r="J256" s="6"/>
      <c r="K256" s="6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>
      <c r="A257" s="2"/>
      <c r="B257" s="4"/>
      <c r="C257" s="4"/>
      <c r="D257" s="4"/>
      <c r="E257" s="4"/>
      <c r="F257" s="4"/>
      <c r="G257" s="6"/>
      <c r="H257" s="6"/>
      <c r="I257" s="6"/>
      <c r="J257" s="6"/>
      <c r="K257" s="6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>
      <c r="A258" s="2"/>
      <c r="B258" s="4"/>
      <c r="C258" s="4"/>
      <c r="D258" s="4"/>
      <c r="E258" s="4"/>
      <c r="F258" s="4"/>
      <c r="G258" s="6"/>
      <c r="H258" s="6"/>
      <c r="I258" s="6"/>
      <c r="J258" s="6"/>
      <c r="K258" s="6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>
      <c r="A259" s="2"/>
      <c r="B259" s="4"/>
      <c r="C259" s="4"/>
      <c r="D259" s="4"/>
      <c r="E259" s="4"/>
      <c r="F259" s="4"/>
      <c r="G259" s="6"/>
      <c r="H259" s="6"/>
      <c r="I259" s="6"/>
      <c r="J259" s="6"/>
      <c r="K259" s="6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>
      <c r="A260" s="2"/>
      <c r="B260" s="4"/>
      <c r="C260" s="4"/>
      <c r="D260" s="4"/>
      <c r="E260" s="4"/>
      <c r="F260" s="4"/>
      <c r="G260" s="6"/>
      <c r="H260" s="6"/>
      <c r="I260" s="6"/>
      <c r="J260" s="6"/>
      <c r="K260" s="6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>
      <c r="A261" s="2"/>
      <c r="B261" s="4"/>
      <c r="C261" s="4"/>
      <c r="D261" s="4"/>
      <c r="E261" s="4"/>
      <c r="F261" s="4"/>
      <c r="G261" s="6"/>
      <c r="H261" s="6"/>
      <c r="I261" s="6"/>
      <c r="J261" s="6"/>
      <c r="K261" s="6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>
      <c r="A262" s="2"/>
      <c r="B262" s="4"/>
      <c r="C262" s="4"/>
      <c r="D262" s="4"/>
      <c r="E262" s="4"/>
      <c r="F262" s="4"/>
      <c r="G262" s="6"/>
      <c r="H262" s="6"/>
      <c r="I262" s="6"/>
      <c r="J262" s="6"/>
      <c r="K262" s="6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>
      <c r="A263" s="2"/>
      <c r="B263" s="4"/>
      <c r="C263" s="4"/>
      <c r="D263" s="4"/>
      <c r="E263" s="4"/>
      <c r="F263" s="4"/>
      <c r="G263" s="6"/>
      <c r="H263" s="6"/>
      <c r="I263" s="6"/>
      <c r="J263" s="6"/>
      <c r="K263" s="6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>
      <c r="A264" s="2"/>
      <c r="B264" s="4"/>
      <c r="C264" s="4"/>
      <c r="D264" s="4"/>
      <c r="E264" s="4"/>
      <c r="F264" s="4"/>
      <c r="G264" s="6"/>
      <c r="H264" s="6"/>
      <c r="I264" s="6"/>
      <c r="J264" s="6"/>
      <c r="K264" s="6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>
      <c r="A265" s="2"/>
      <c r="B265" s="4"/>
      <c r="C265" s="4"/>
      <c r="D265" s="4"/>
      <c r="E265" s="4"/>
      <c r="F265" s="4"/>
      <c r="G265" s="6"/>
      <c r="H265" s="6"/>
      <c r="I265" s="6"/>
      <c r="J265" s="6"/>
      <c r="K265" s="6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>
      <c r="A266" s="2"/>
      <c r="B266" s="4"/>
      <c r="C266" s="4"/>
      <c r="D266" s="4"/>
      <c r="E266" s="4"/>
      <c r="F266" s="4"/>
      <c r="G266" s="6"/>
      <c r="H266" s="6"/>
      <c r="I266" s="6"/>
      <c r="J266" s="6"/>
      <c r="K266" s="6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>
      <c r="A267" s="2"/>
      <c r="B267" s="4"/>
      <c r="C267" s="4"/>
      <c r="D267" s="4"/>
      <c r="E267" s="4"/>
      <c r="F267" s="4"/>
      <c r="G267" s="6"/>
      <c r="H267" s="6"/>
      <c r="I267" s="6"/>
      <c r="J267" s="6"/>
      <c r="K267" s="6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>
      <c r="A268" s="2"/>
      <c r="B268" s="4"/>
      <c r="C268" s="4"/>
      <c r="D268" s="4"/>
      <c r="E268" s="4"/>
      <c r="F268" s="4"/>
      <c r="G268" s="6"/>
      <c r="H268" s="6"/>
      <c r="I268" s="6"/>
      <c r="J268" s="6"/>
      <c r="K268" s="6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>
      <c r="A269" s="2"/>
      <c r="B269" s="4"/>
      <c r="C269" s="4"/>
      <c r="D269" s="4"/>
      <c r="E269" s="4"/>
      <c r="F269" s="4"/>
      <c r="G269" s="6"/>
      <c r="H269" s="6"/>
      <c r="I269" s="6"/>
      <c r="J269" s="6"/>
      <c r="K269" s="6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>
      <c r="A270" s="2"/>
      <c r="B270" s="4"/>
      <c r="C270" s="4"/>
      <c r="D270" s="4"/>
      <c r="E270" s="4"/>
      <c r="F270" s="4"/>
      <c r="G270" s="6"/>
      <c r="H270" s="6"/>
      <c r="I270" s="6"/>
      <c r="J270" s="6"/>
      <c r="K270" s="6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>
      <c r="A271" s="2"/>
      <c r="B271" s="4"/>
      <c r="C271" s="4"/>
      <c r="D271" s="4"/>
      <c r="E271" s="4"/>
      <c r="F271" s="4"/>
      <c r="G271" s="6"/>
      <c r="H271" s="6"/>
      <c r="I271" s="6"/>
      <c r="J271" s="6"/>
      <c r="K271" s="6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>
      <c r="A272" s="2"/>
      <c r="B272" s="4"/>
      <c r="C272" s="4"/>
      <c r="D272" s="4"/>
      <c r="E272" s="4"/>
      <c r="F272" s="4"/>
      <c r="G272" s="6"/>
      <c r="H272" s="6"/>
      <c r="I272" s="6"/>
      <c r="J272" s="6"/>
      <c r="K272" s="6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>
      <c r="A273" s="2"/>
      <c r="B273" s="4"/>
      <c r="C273" s="4"/>
      <c r="D273" s="4"/>
      <c r="E273" s="4"/>
      <c r="F273" s="4"/>
      <c r="G273" s="6"/>
      <c r="H273" s="6"/>
      <c r="I273" s="6"/>
      <c r="J273" s="6"/>
      <c r="K273" s="6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>
      <c r="A274" s="2"/>
      <c r="B274" s="4"/>
      <c r="C274" s="4"/>
      <c r="D274" s="4"/>
      <c r="E274" s="4"/>
      <c r="F274" s="4"/>
      <c r="G274" s="6"/>
      <c r="H274" s="6"/>
      <c r="I274" s="6"/>
      <c r="J274" s="6"/>
      <c r="K274" s="6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>
      <c r="A275" s="2"/>
      <c r="B275" s="4"/>
      <c r="C275" s="4"/>
      <c r="D275" s="4"/>
      <c r="E275" s="4"/>
      <c r="F275" s="4"/>
      <c r="G275" s="6"/>
      <c r="H275" s="6"/>
      <c r="I275" s="6"/>
      <c r="J275" s="6"/>
      <c r="K275" s="6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>
      <c r="A276" s="2"/>
      <c r="B276" s="4"/>
      <c r="C276" s="4"/>
      <c r="D276" s="4"/>
      <c r="E276" s="4"/>
      <c r="F276" s="4"/>
      <c r="G276" s="6"/>
      <c r="H276" s="6"/>
      <c r="I276" s="6"/>
      <c r="J276" s="6"/>
      <c r="K276" s="6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>
      <c r="A277" s="2"/>
      <c r="B277" s="4"/>
      <c r="C277" s="4"/>
      <c r="D277" s="4"/>
      <c r="E277" s="4"/>
      <c r="F277" s="4"/>
      <c r="G277" s="6"/>
      <c r="H277" s="6"/>
      <c r="I277" s="6"/>
      <c r="J277" s="6"/>
      <c r="K277" s="6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>
      <c r="A278" s="2"/>
      <c r="B278" s="4"/>
      <c r="C278" s="4"/>
      <c r="D278" s="4"/>
      <c r="E278" s="4"/>
      <c r="F278" s="4"/>
      <c r="G278" s="6"/>
      <c r="H278" s="6"/>
      <c r="I278" s="6"/>
      <c r="J278" s="6"/>
      <c r="K278" s="6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>
      <c r="A279" s="2"/>
      <c r="B279" s="4"/>
      <c r="C279" s="4"/>
      <c r="D279" s="4"/>
      <c r="E279" s="4"/>
      <c r="F279" s="4"/>
      <c r="G279" s="6"/>
      <c r="H279" s="6"/>
      <c r="I279" s="6"/>
      <c r="J279" s="6"/>
      <c r="K279" s="6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>
      <c r="A280" s="2"/>
      <c r="B280" s="4"/>
      <c r="C280" s="4"/>
      <c r="D280" s="4"/>
      <c r="E280" s="4"/>
      <c r="F280" s="4"/>
      <c r="G280" s="6"/>
      <c r="H280" s="6"/>
      <c r="I280" s="6"/>
      <c r="J280" s="6"/>
      <c r="K280" s="6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>
      <c r="A281" s="2"/>
      <c r="B281" s="4"/>
      <c r="C281" s="4"/>
      <c r="D281" s="4"/>
      <c r="E281" s="4"/>
      <c r="F281" s="4"/>
      <c r="G281" s="6"/>
      <c r="H281" s="6"/>
      <c r="I281" s="6"/>
      <c r="J281" s="6"/>
      <c r="K281" s="6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>
      <c r="A282" s="2"/>
      <c r="B282" s="4"/>
      <c r="C282" s="4"/>
      <c r="D282" s="4"/>
      <c r="E282" s="4"/>
      <c r="F282" s="4"/>
      <c r="G282" s="6"/>
      <c r="H282" s="6"/>
      <c r="I282" s="6"/>
      <c r="J282" s="6"/>
      <c r="K282" s="6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>
      <c r="A283" s="2"/>
      <c r="B283" s="4"/>
      <c r="C283" s="4"/>
      <c r="D283" s="4"/>
      <c r="E283" s="4"/>
      <c r="F283" s="4"/>
      <c r="G283" s="6"/>
      <c r="H283" s="6"/>
      <c r="I283" s="6"/>
      <c r="J283" s="6"/>
      <c r="K283" s="6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>
      <c r="A284" s="2"/>
      <c r="B284" s="4"/>
      <c r="C284" s="4"/>
      <c r="D284" s="4"/>
      <c r="E284" s="4"/>
      <c r="F284" s="4"/>
      <c r="G284" s="6"/>
      <c r="H284" s="6"/>
      <c r="I284" s="6"/>
      <c r="J284" s="6"/>
      <c r="K284" s="6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>
      <c r="A285" s="2"/>
      <c r="B285" s="4"/>
      <c r="C285" s="4"/>
      <c r="D285" s="4"/>
      <c r="E285" s="4"/>
      <c r="F285" s="4"/>
      <c r="G285" s="6"/>
      <c r="H285" s="6"/>
      <c r="I285" s="6"/>
      <c r="J285" s="6"/>
      <c r="K285" s="6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>
      <c r="A286" s="2"/>
      <c r="B286" s="4"/>
      <c r="C286" s="4"/>
      <c r="D286" s="4"/>
      <c r="E286" s="4"/>
      <c r="F286" s="4"/>
      <c r="G286" s="6"/>
      <c r="H286" s="6"/>
      <c r="I286" s="6"/>
      <c r="J286" s="6"/>
      <c r="K286" s="6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>
      <c r="A287" s="2"/>
      <c r="B287" s="4"/>
      <c r="C287" s="4"/>
      <c r="D287" s="4"/>
      <c r="E287" s="4"/>
      <c r="F287" s="4"/>
      <c r="G287" s="6"/>
      <c r="H287" s="6"/>
      <c r="I287" s="6"/>
      <c r="J287" s="6"/>
      <c r="K287" s="6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>
      <c r="A288" s="2"/>
      <c r="B288" s="4"/>
      <c r="C288" s="4"/>
      <c r="D288" s="4"/>
      <c r="E288" s="4"/>
      <c r="F288" s="4"/>
      <c r="G288" s="6"/>
      <c r="H288" s="6"/>
      <c r="I288" s="6"/>
      <c r="J288" s="6"/>
      <c r="K288" s="6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>
      <c r="A289" s="2"/>
      <c r="B289" s="4"/>
      <c r="C289" s="4"/>
      <c r="D289" s="4"/>
      <c r="E289" s="4"/>
      <c r="F289" s="4"/>
      <c r="G289" s="6"/>
      <c r="H289" s="6"/>
      <c r="I289" s="6"/>
      <c r="J289" s="6"/>
      <c r="K289" s="6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>
      <c r="A290" s="2"/>
      <c r="B290" s="4"/>
      <c r="C290" s="4"/>
      <c r="D290" s="4"/>
      <c r="E290" s="4"/>
      <c r="F290" s="4"/>
      <c r="G290" s="6"/>
      <c r="H290" s="6"/>
      <c r="I290" s="6"/>
      <c r="J290" s="6"/>
      <c r="K290" s="6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>
      <c r="A291" s="2"/>
      <c r="B291" s="4"/>
      <c r="C291" s="4"/>
      <c r="D291" s="4"/>
      <c r="E291" s="4"/>
      <c r="F291" s="4"/>
      <c r="G291" s="6"/>
      <c r="H291" s="6"/>
      <c r="I291" s="6"/>
      <c r="J291" s="6"/>
      <c r="K291" s="6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>
      <c r="A292" s="2"/>
      <c r="B292" s="4"/>
      <c r="C292" s="4"/>
      <c r="D292" s="4"/>
      <c r="E292" s="4"/>
      <c r="F292" s="4"/>
      <c r="G292" s="6"/>
      <c r="H292" s="6"/>
      <c r="I292" s="6"/>
      <c r="J292" s="6"/>
      <c r="K292" s="6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>
      <c r="A293" s="2"/>
      <c r="B293" s="4"/>
      <c r="C293" s="4"/>
      <c r="D293" s="4"/>
      <c r="E293" s="4"/>
      <c r="F293" s="4"/>
      <c r="G293" s="6"/>
      <c r="H293" s="6"/>
      <c r="I293" s="6"/>
      <c r="J293" s="6"/>
      <c r="K293" s="6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>
      <c r="A294" s="2"/>
      <c r="B294" s="4"/>
      <c r="C294" s="4"/>
      <c r="D294" s="4"/>
      <c r="E294" s="4"/>
      <c r="F294" s="4"/>
      <c r="G294" s="6"/>
      <c r="H294" s="6"/>
      <c r="I294" s="6"/>
      <c r="J294" s="6"/>
      <c r="K294" s="6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>
      <c r="A295" s="2"/>
      <c r="B295" s="4"/>
      <c r="C295" s="4"/>
      <c r="D295" s="4"/>
      <c r="E295" s="4"/>
      <c r="F295" s="4"/>
      <c r="G295" s="6"/>
      <c r="H295" s="6"/>
      <c r="I295" s="6"/>
      <c r="J295" s="6"/>
      <c r="K295" s="6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>
      <c r="A296" s="2"/>
      <c r="B296" s="4"/>
      <c r="C296" s="4"/>
      <c r="D296" s="4"/>
      <c r="E296" s="4"/>
      <c r="F296" s="4"/>
      <c r="G296" s="6"/>
      <c r="H296" s="6"/>
      <c r="I296" s="6"/>
      <c r="J296" s="6"/>
      <c r="K296" s="6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>
      <c r="A297" s="2"/>
      <c r="B297" s="4"/>
      <c r="C297" s="4"/>
      <c r="D297" s="4"/>
      <c r="E297" s="4"/>
      <c r="F297" s="4"/>
      <c r="G297" s="6"/>
      <c r="H297" s="6"/>
      <c r="I297" s="6"/>
      <c r="J297" s="6"/>
      <c r="K297" s="6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>
      <c r="A298" s="2"/>
      <c r="B298" s="4"/>
      <c r="C298" s="4"/>
      <c r="D298" s="4"/>
      <c r="E298" s="4"/>
      <c r="F298" s="4"/>
      <c r="G298" s="6"/>
      <c r="H298" s="6"/>
      <c r="I298" s="6"/>
      <c r="J298" s="6"/>
      <c r="K298" s="6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>
      <c r="A299" s="2"/>
      <c r="B299" s="4"/>
      <c r="C299" s="4"/>
      <c r="D299" s="4"/>
      <c r="E299" s="4"/>
      <c r="F299" s="4"/>
      <c r="G299" s="6"/>
      <c r="H299" s="6"/>
      <c r="I299" s="6"/>
      <c r="J299" s="6"/>
      <c r="K299" s="6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>
      <c r="A300" s="2"/>
      <c r="B300" s="4"/>
      <c r="C300" s="4"/>
      <c r="D300" s="4"/>
      <c r="E300" s="4"/>
      <c r="F300" s="4"/>
      <c r="G300" s="6"/>
      <c r="H300" s="6"/>
      <c r="I300" s="6"/>
      <c r="J300" s="6"/>
      <c r="K300" s="6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>
      <c r="A301" s="2"/>
      <c r="B301" s="4"/>
      <c r="C301" s="4"/>
      <c r="D301" s="4"/>
      <c r="E301" s="4"/>
      <c r="F301" s="4"/>
      <c r="G301" s="6"/>
      <c r="H301" s="6"/>
      <c r="I301" s="6"/>
      <c r="J301" s="6"/>
      <c r="K301" s="6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>
      <c r="A302" s="2"/>
      <c r="B302" s="4"/>
      <c r="C302" s="4"/>
      <c r="D302" s="4"/>
      <c r="E302" s="4"/>
      <c r="F302" s="4"/>
      <c r="G302" s="6"/>
      <c r="H302" s="6"/>
      <c r="I302" s="6"/>
      <c r="J302" s="6"/>
      <c r="K302" s="6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>
      <c r="A303" s="2"/>
      <c r="B303" s="4"/>
      <c r="C303" s="4"/>
      <c r="D303" s="4"/>
      <c r="E303" s="4"/>
      <c r="F303" s="4"/>
      <c r="G303" s="6"/>
      <c r="H303" s="6"/>
      <c r="I303" s="6"/>
      <c r="J303" s="6"/>
      <c r="K303" s="6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>
      <c r="A304" s="2"/>
      <c r="B304" s="4"/>
      <c r="C304" s="4"/>
      <c r="D304" s="4"/>
      <c r="E304" s="4"/>
      <c r="F304" s="4"/>
      <c r="G304" s="6"/>
      <c r="H304" s="6"/>
      <c r="I304" s="6"/>
      <c r="J304" s="6"/>
      <c r="K304" s="6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>
      <c r="A305" s="2"/>
      <c r="B305" s="4"/>
      <c r="C305" s="4"/>
      <c r="D305" s="4"/>
      <c r="E305" s="4"/>
      <c r="F305" s="4"/>
      <c r="G305" s="6"/>
      <c r="H305" s="6"/>
      <c r="I305" s="6"/>
      <c r="J305" s="6"/>
      <c r="K305" s="6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>
      <c r="A306" s="2"/>
      <c r="B306" s="4"/>
      <c r="C306" s="4"/>
      <c r="D306" s="4"/>
      <c r="E306" s="4"/>
      <c r="F306" s="4"/>
      <c r="G306" s="6"/>
      <c r="H306" s="6"/>
      <c r="I306" s="6"/>
      <c r="J306" s="6"/>
      <c r="K306" s="6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>
      <c r="A307" s="2"/>
      <c r="B307" s="4"/>
      <c r="C307" s="4"/>
      <c r="D307" s="4"/>
      <c r="E307" s="4"/>
      <c r="F307" s="4"/>
      <c r="G307" s="6"/>
      <c r="H307" s="6"/>
      <c r="I307" s="6"/>
      <c r="J307" s="6"/>
      <c r="K307" s="6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>
      <c r="A308" s="2"/>
      <c r="B308" s="4"/>
      <c r="C308" s="4"/>
      <c r="D308" s="4"/>
      <c r="E308" s="4"/>
      <c r="F308" s="4"/>
      <c r="G308" s="6"/>
      <c r="H308" s="6"/>
      <c r="I308" s="6"/>
      <c r="J308" s="6"/>
      <c r="K308" s="6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>
      <c r="A309" s="2"/>
      <c r="B309" s="4"/>
      <c r="C309" s="4"/>
      <c r="D309" s="4"/>
      <c r="E309" s="4"/>
      <c r="F309" s="4"/>
      <c r="G309" s="6"/>
      <c r="H309" s="6"/>
      <c r="I309" s="6"/>
      <c r="J309" s="6"/>
      <c r="K309" s="6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>
      <c r="A310" s="2"/>
      <c r="B310" s="4"/>
      <c r="C310" s="4"/>
      <c r="D310" s="4"/>
      <c r="E310" s="4"/>
      <c r="F310" s="4"/>
      <c r="G310" s="6"/>
      <c r="H310" s="6"/>
      <c r="I310" s="6"/>
      <c r="J310" s="6"/>
      <c r="K310" s="6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>
      <c r="A311" s="2"/>
      <c r="B311" s="4"/>
      <c r="C311" s="4"/>
      <c r="D311" s="4"/>
      <c r="E311" s="4"/>
      <c r="F311" s="4"/>
      <c r="G311" s="6"/>
      <c r="H311" s="6"/>
      <c r="I311" s="6"/>
      <c r="J311" s="6"/>
      <c r="K311" s="6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>
      <c r="A312" s="2"/>
      <c r="B312" s="4"/>
      <c r="C312" s="4"/>
      <c r="D312" s="4"/>
      <c r="E312" s="4"/>
      <c r="F312" s="4"/>
      <c r="G312" s="6"/>
      <c r="H312" s="6"/>
      <c r="I312" s="6"/>
      <c r="J312" s="6"/>
      <c r="K312" s="6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>
      <c r="A313" s="2"/>
      <c r="B313" s="4"/>
      <c r="C313" s="4"/>
      <c r="D313" s="4"/>
      <c r="E313" s="4"/>
      <c r="F313" s="4"/>
      <c r="G313" s="6"/>
      <c r="H313" s="6"/>
      <c r="I313" s="6"/>
      <c r="J313" s="6"/>
      <c r="K313" s="6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>
      <c r="A314" s="2"/>
      <c r="B314" s="4"/>
      <c r="C314" s="4"/>
      <c r="D314" s="4"/>
      <c r="E314" s="4"/>
      <c r="F314" s="4"/>
      <c r="G314" s="6"/>
      <c r="H314" s="6"/>
      <c r="I314" s="6"/>
      <c r="J314" s="6"/>
      <c r="K314" s="6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>
      <c r="A315" s="2"/>
      <c r="B315" s="4"/>
      <c r="C315" s="4"/>
      <c r="D315" s="4"/>
      <c r="E315" s="4"/>
      <c r="F315" s="4"/>
      <c r="G315" s="6"/>
      <c r="H315" s="6"/>
      <c r="I315" s="6"/>
      <c r="J315" s="6"/>
      <c r="K315" s="6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>
      <c r="A316" s="2"/>
      <c r="B316" s="4"/>
      <c r="C316" s="4"/>
      <c r="D316" s="4"/>
      <c r="E316" s="4"/>
      <c r="F316" s="4"/>
      <c r="G316" s="6"/>
      <c r="H316" s="6"/>
      <c r="I316" s="6"/>
      <c r="J316" s="6"/>
      <c r="K316" s="6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>
      <c r="A317" s="2"/>
      <c r="B317" s="4"/>
      <c r="C317" s="4"/>
      <c r="D317" s="4"/>
      <c r="E317" s="4"/>
      <c r="F317" s="4"/>
      <c r="G317" s="6"/>
      <c r="H317" s="6"/>
      <c r="I317" s="6"/>
      <c r="J317" s="6"/>
      <c r="K317" s="6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>
      <c r="A318" s="2"/>
      <c r="B318" s="4"/>
      <c r="C318" s="4"/>
      <c r="D318" s="4"/>
      <c r="E318" s="4"/>
      <c r="F318" s="4"/>
      <c r="G318" s="6"/>
      <c r="H318" s="6"/>
      <c r="I318" s="6"/>
      <c r="J318" s="6"/>
      <c r="K318" s="6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>
      <c r="A319" s="2"/>
      <c r="B319" s="4"/>
      <c r="C319" s="4"/>
      <c r="D319" s="4"/>
      <c r="E319" s="4"/>
      <c r="F319" s="4"/>
      <c r="G319" s="6"/>
      <c r="H319" s="6"/>
      <c r="I319" s="6"/>
      <c r="J319" s="6"/>
      <c r="K319" s="6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>
      <c r="A320" s="2"/>
      <c r="B320" s="4"/>
      <c r="C320" s="4"/>
      <c r="D320" s="4"/>
      <c r="E320" s="4"/>
      <c r="F320" s="4"/>
      <c r="G320" s="6"/>
      <c r="H320" s="6"/>
      <c r="I320" s="6"/>
      <c r="J320" s="6"/>
      <c r="K320" s="6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>
      <c r="A321" s="2"/>
      <c r="B321" s="4"/>
      <c r="C321" s="4"/>
      <c r="D321" s="4"/>
      <c r="E321" s="4"/>
      <c r="F321" s="4"/>
      <c r="G321" s="6"/>
      <c r="H321" s="6"/>
      <c r="I321" s="6"/>
      <c r="J321" s="6"/>
      <c r="K321" s="6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>
      <c r="A322" s="2"/>
      <c r="B322" s="4"/>
      <c r="C322" s="4"/>
      <c r="D322" s="4"/>
      <c r="E322" s="4"/>
      <c r="F322" s="4"/>
      <c r="G322" s="6"/>
      <c r="H322" s="6"/>
      <c r="I322" s="6"/>
      <c r="J322" s="6"/>
      <c r="K322" s="6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>
      <c r="A323" s="2"/>
      <c r="B323" s="4"/>
      <c r="C323" s="4"/>
      <c r="D323" s="4"/>
      <c r="E323" s="4"/>
      <c r="F323" s="4"/>
      <c r="G323" s="6"/>
      <c r="H323" s="6"/>
      <c r="I323" s="6"/>
      <c r="J323" s="6"/>
      <c r="K323" s="6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>
      <c r="A324" s="2"/>
      <c r="B324" s="4"/>
      <c r="C324" s="4"/>
      <c r="D324" s="4"/>
      <c r="E324" s="4"/>
      <c r="F324" s="4"/>
      <c r="G324" s="6"/>
      <c r="H324" s="6"/>
      <c r="I324" s="6"/>
      <c r="J324" s="6"/>
      <c r="K324" s="6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>
      <c r="A325" s="2"/>
      <c r="B325" s="4"/>
      <c r="C325" s="4"/>
      <c r="D325" s="4"/>
      <c r="E325" s="4"/>
      <c r="F325" s="4"/>
      <c r="G325" s="6"/>
      <c r="H325" s="6"/>
      <c r="I325" s="6"/>
      <c r="J325" s="6"/>
      <c r="K325" s="6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>
      <c r="A326" s="2"/>
      <c r="B326" s="4"/>
      <c r="C326" s="4"/>
      <c r="D326" s="4"/>
      <c r="E326" s="4"/>
      <c r="F326" s="4"/>
      <c r="G326" s="6"/>
      <c r="H326" s="6"/>
      <c r="I326" s="6"/>
      <c r="J326" s="6"/>
      <c r="K326" s="6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>
      <c r="A327" s="2"/>
      <c r="B327" s="4"/>
      <c r="C327" s="4"/>
      <c r="D327" s="4"/>
      <c r="E327" s="4"/>
      <c r="F327" s="4"/>
      <c r="G327" s="6"/>
      <c r="H327" s="6"/>
      <c r="I327" s="6"/>
      <c r="J327" s="6"/>
      <c r="K327" s="6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>
      <c r="A328" s="2"/>
      <c r="B328" s="4"/>
      <c r="C328" s="4"/>
      <c r="D328" s="4"/>
      <c r="E328" s="4"/>
      <c r="F328" s="4"/>
      <c r="G328" s="6"/>
      <c r="H328" s="6"/>
      <c r="I328" s="6"/>
      <c r="J328" s="6"/>
      <c r="K328" s="6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>
      <c r="A329" s="2"/>
      <c r="B329" s="4"/>
      <c r="C329" s="4"/>
      <c r="D329" s="4"/>
      <c r="E329" s="4"/>
      <c r="F329" s="4"/>
      <c r="G329" s="6"/>
      <c r="H329" s="6"/>
      <c r="I329" s="6"/>
      <c r="J329" s="6"/>
      <c r="K329" s="6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>
      <c r="A330" s="2"/>
      <c r="B330" s="4"/>
      <c r="C330" s="4"/>
      <c r="D330" s="4"/>
      <c r="E330" s="4"/>
      <c r="F330" s="4"/>
      <c r="G330" s="6"/>
      <c r="H330" s="6"/>
      <c r="I330" s="6"/>
      <c r="J330" s="6"/>
      <c r="K330" s="6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>
      <c r="A331" s="2"/>
      <c r="B331" s="4"/>
      <c r="C331" s="4"/>
      <c r="D331" s="4"/>
      <c r="E331" s="4"/>
      <c r="F331" s="4"/>
      <c r="G331" s="6"/>
      <c r="H331" s="6"/>
      <c r="I331" s="6"/>
      <c r="J331" s="6"/>
      <c r="K331" s="6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>
      <c r="A332" s="2"/>
      <c r="B332" s="4"/>
      <c r="C332" s="4"/>
      <c r="D332" s="4"/>
      <c r="E332" s="4"/>
      <c r="F332" s="4"/>
      <c r="G332" s="6"/>
      <c r="H332" s="6"/>
      <c r="I332" s="6"/>
      <c r="J332" s="6"/>
      <c r="K332" s="6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>
      <c r="A333" s="2"/>
      <c r="B333" s="4"/>
      <c r="C333" s="4"/>
      <c r="D333" s="4"/>
      <c r="E333" s="4"/>
      <c r="F333" s="4"/>
      <c r="G333" s="6"/>
      <c r="H333" s="6"/>
      <c r="I333" s="6"/>
      <c r="J333" s="6"/>
      <c r="K333" s="6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>
      <c r="A334" s="2"/>
      <c r="B334" s="4"/>
      <c r="C334" s="4"/>
      <c r="D334" s="4"/>
      <c r="E334" s="4"/>
      <c r="F334" s="4"/>
      <c r="G334" s="6"/>
      <c r="H334" s="6"/>
      <c r="I334" s="6"/>
      <c r="J334" s="6"/>
      <c r="K334" s="6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>
      <c r="A335" s="2"/>
      <c r="B335" s="4"/>
      <c r="C335" s="4"/>
      <c r="D335" s="4"/>
      <c r="E335" s="4"/>
      <c r="F335" s="4"/>
      <c r="G335" s="6"/>
      <c r="H335" s="6"/>
      <c r="I335" s="6"/>
      <c r="J335" s="6"/>
      <c r="K335" s="6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>
      <c r="A336" s="2"/>
      <c r="B336" s="4"/>
      <c r="C336" s="4"/>
      <c r="D336" s="4"/>
      <c r="E336" s="4"/>
      <c r="F336" s="4"/>
      <c r="G336" s="6"/>
      <c r="H336" s="6"/>
      <c r="I336" s="6"/>
      <c r="J336" s="6"/>
      <c r="K336" s="6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>
      <c r="A337" s="2"/>
      <c r="B337" s="4"/>
      <c r="C337" s="4"/>
      <c r="D337" s="4"/>
      <c r="E337" s="4"/>
      <c r="F337" s="4"/>
      <c r="G337" s="6"/>
      <c r="H337" s="6"/>
      <c r="I337" s="6"/>
      <c r="J337" s="6"/>
      <c r="K337" s="6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>
      <c r="A338" s="2"/>
      <c r="B338" s="4"/>
      <c r="C338" s="4"/>
      <c r="D338" s="4"/>
      <c r="E338" s="4"/>
      <c r="F338" s="4"/>
      <c r="G338" s="6"/>
      <c r="H338" s="6"/>
      <c r="I338" s="6"/>
      <c r="J338" s="6"/>
      <c r="K338" s="6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>
      <c r="A339" s="2"/>
      <c r="B339" s="4"/>
      <c r="C339" s="4"/>
      <c r="D339" s="4"/>
      <c r="E339" s="4"/>
      <c r="F339" s="4"/>
      <c r="G339" s="6"/>
      <c r="H339" s="6"/>
      <c r="I339" s="6"/>
      <c r="J339" s="6"/>
      <c r="K339" s="6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>
      <c r="A340" s="2"/>
      <c r="B340" s="4"/>
      <c r="C340" s="4"/>
      <c r="D340" s="4"/>
      <c r="E340" s="4"/>
      <c r="F340" s="4"/>
      <c r="G340" s="6"/>
      <c r="H340" s="6"/>
      <c r="I340" s="6"/>
      <c r="J340" s="6"/>
      <c r="K340" s="6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>
      <c r="A341" s="2"/>
      <c r="B341" s="4"/>
      <c r="C341" s="4"/>
      <c r="D341" s="4"/>
      <c r="E341" s="4"/>
      <c r="F341" s="4"/>
      <c r="G341" s="6"/>
      <c r="H341" s="6"/>
      <c r="I341" s="6"/>
      <c r="J341" s="6"/>
      <c r="K341" s="6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>
      <c r="A342" s="2"/>
      <c r="B342" s="4"/>
      <c r="C342" s="4"/>
      <c r="D342" s="4"/>
      <c r="E342" s="4"/>
      <c r="F342" s="4"/>
      <c r="G342" s="6"/>
      <c r="H342" s="6"/>
      <c r="I342" s="6"/>
      <c r="J342" s="6"/>
      <c r="K342" s="6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>
      <c r="A343" s="2"/>
      <c r="B343" s="4"/>
      <c r="C343" s="4"/>
      <c r="D343" s="4"/>
      <c r="E343" s="4"/>
      <c r="F343" s="4"/>
      <c r="G343" s="6"/>
      <c r="H343" s="6"/>
      <c r="I343" s="6"/>
      <c r="J343" s="6"/>
      <c r="K343" s="6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>
      <c r="A344" s="2"/>
      <c r="B344" s="4"/>
      <c r="C344" s="4"/>
      <c r="D344" s="4"/>
      <c r="E344" s="4"/>
      <c r="F344" s="4"/>
      <c r="G344" s="6"/>
      <c r="H344" s="6"/>
      <c r="I344" s="6"/>
      <c r="J344" s="6"/>
      <c r="K344" s="6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>
      <c r="A345" s="2"/>
      <c r="B345" s="4"/>
      <c r="C345" s="4"/>
      <c r="D345" s="4"/>
      <c r="E345" s="4"/>
      <c r="F345" s="4"/>
      <c r="G345" s="6"/>
      <c r="H345" s="6"/>
      <c r="I345" s="6"/>
      <c r="J345" s="6"/>
      <c r="K345" s="6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>
      <c r="A346" s="2"/>
      <c r="B346" s="4"/>
      <c r="C346" s="4"/>
      <c r="D346" s="4"/>
      <c r="E346" s="4"/>
      <c r="F346" s="4"/>
      <c r="G346" s="6"/>
      <c r="H346" s="6"/>
      <c r="I346" s="6"/>
      <c r="J346" s="6"/>
      <c r="K346" s="6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>
      <c r="A347" s="2"/>
      <c r="B347" s="4"/>
      <c r="C347" s="4"/>
      <c r="D347" s="4"/>
      <c r="E347" s="4"/>
      <c r="F347" s="4"/>
      <c r="G347" s="6"/>
      <c r="H347" s="6"/>
      <c r="I347" s="6"/>
      <c r="J347" s="6"/>
      <c r="K347" s="6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>
      <c r="A348" s="2"/>
      <c r="B348" s="4"/>
      <c r="C348" s="4"/>
      <c r="D348" s="4"/>
      <c r="E348" s="4"/>
      <c r="F348" s="4"/>
      <c r="G348" s="6"/>
      <c r="H348" s="6"/>
      <c r="I348" s="6"/>
      <c r="J348" s="6"/>
      <c r="K348" s="6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>
      <c r="A349" s="2"/>
      <c r="B349" s="4"/>
      <c r="C349" s="4"/>
      <c r="D349" s="4"/>
      <c r="E349" s="4"/>
      <c r="F349" s="4"/>
      <c r="G349" s="6"/>
      <c r="H349" s="6"/>
      <c r="I349" s="6"/>
      <c r="J349" s="6"/>
      <c r="K349" s="6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>
      <c r="A350" s="2"/>
      <c r="B350" s="4"/>
      <c r="C350" s="4"/>
      <c r="D350" s="4"/>
      <c r="E350" s="4"/>
      <c r="F350" s="4"/>
      <c r="G350" s="6"/>
      <c r="H350" s="6"/>
      <c r="I350" s="6"/>
      <c r="J350" s="6"/>
      <c r="K350" s="6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>
      <c r="A351" s="2"/>
      <c r="B351" s="4"/>
      <c r="C351" s="4"/>
      <c r="D351" s="4"/>
      <c r="E351" s="4"/>
      <c r="F351" s="4"/>
      <c r="G351" s="6"/>
      <c r="H351" s="6"/>
      <c r="I351" s="6"/>
      <c r="J351" s="6"/>
      <c r="K351" s="6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>
      <c r="A352" s="2"/>
      <c r="B352" s="4"/>
      <c r="C352" s="4"/>
      <c r="D352" s="4"/>
      <c r="E352" s="4"/>
      <c r="F352" s="4"/>
      <c r="G352" s="6"/>
      <c r="H352" s="6"/>
      <c r="I352" s="6"/>
      <c r="J352" s="6"/>
      <c r="K352" s="6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>
      <c r="A353" s="2"/>
      <c r="B353" s="4"/>
      <c r="C353" s="4"/>
      <c r="D353" s="4"/>
      <c r="E353" s="4"/>
      <c r="F353" s="4"/>
      <c r="G353" s="6"/>
      <c r="H353" s="6"/>
      <c r="I353" s="6"/>
      <c r="J353" s="6"/>
      <c r="K353" s="6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>
      <c r="A354" s="2"/>
      <c r="B354" s="4"/>
      <c r="C354" s="4"/>
      <c r="D354" s="4"/>
      <c r="E354" s="4"/>
      <c r="F354" s="4"/>
      <c r="G354" s="6"/>
      <c r="H354" s="6"/>
      <c r="I354" s="6"/>
      <c r="J354" s="6"/>
      <c r="K354" s="6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>
      <c r="A355" s="2"/>
      <c r="B355" s="4"/>
      <c r="C355" s="4"/>
      <c r="D355" s="4"/>
      <c r="E355" s="4"/>
      <c r="F355" s="4"/>
      <c r="G355" s="6"/>
      <c r="H355" s="6"/>
      <c r="I355" s="6"/>
      <c r="J355" s="6"/>
      <c r="K355" s="6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>
      <c r="A356" s="2"/>
      <c r="B356" s="4"/>
      <c r="C356" s="4"/>
      <c r="D356" s="4"/>
      <c r="E356" s="4"/>
      <c r="F356" s="4"/>
      <c r="G356" s="6"/>
      <c r="H356" s="6"/>
      <c r="I356" s="6"/>
      <c r="J356" s="6"/>
      <c r="K356" s="6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>
      <c r="A357" s="2"/>
      <c r="B357" s="4"/>
      <c r="C357" s="4"/>
      <c r="D357" s="4"/>
      <c r="E357" s="4"/>
      <c r="F357" s="4"/>
      <c r="G357" s="6"/>
      <c r="H357" s="6"/>
      <c r="I357" s="6"/>
      <c r="J357" s="6"/>
      <c r="K357" s="6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>
      <c r="A358" s="2"/>
      <c r="B358" s="4"/>
      <c r="C358" s="4"/>
      <c r="D358" s="4"/>
      <c r="E358" s="4"/>
      <c r="F358" s="4"/>
      <c r="G358" s="6"/>
      <c r="H358" s="6"/>
      <c r="I358" s="6"/>
      <c r="J358" s="6"/>
      <c r="K358" s="6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>
      <c r="A359" s="2"/>
      <c r="B359" s="4"/>
      <c r="C359" s="4"/>
      <c r="D359" s="4"/>
      <c r="E359" s="4"/>
      <c r="F359" s="4"/>
      <c r="G359" s="6"/>
      <c r="H359" s="6"/>
      <c r="I359" s="6"/>
      <c r="J359" s="6"/>
      <c r="K359" s="6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>
      <c r="A360" s="2"/>
      <c r="B360" s="4"/>
      <c r="C360" s="4"/>
      <c r="D360" s="4"/>
      <c r="E360" s="4"/>
      <c r="F360" s="4"/>
      <c r="G360" s="6"/>
      <c r="H360" s="6"/>
      <c r="I360" s="6"/>
      <c r="J360" s="6"/>
      <c r="K360" s="6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>
      <c r="A361" s="2"/>
      <c r="B361" s="4"/>
      <c r="C361" s="4"/>
      <c r="D361" s="4"/>
      <c r="E361" s="4"/>
      <c r="F361" s="4"/>
      <c r="G361" s="6"/>
      <c r="H361" s="6"/>
      <c r="I361" s="6"/>
      <c r="J361" s="6"/>
      <c r="K361" s="6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>
      <c r="A362" s="2"/>
      <c r="B362" s="4"/>
      <c r="C362" s="4"/>
      <c r="D362" s="4"/>
      <c r="E362" s="4"/>
      <c r="F362" s="4"/>
      <c r="G362" s="6"/>
      <c r="H362" s="6"/>
      <c r="I362" s="6"/>
      <c r="J362" s="6"/>
      <c r="K362" s="6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>
      <c r="A363" s="2"/>
      <c r="B363" s="4"/>
      <c r="C363" s="4"/>
      <c r="D363" s="4"/>
      <c r="E363" s="4"/>
      <c r="F363" s="4"/>
      <c r="G363" s="6"/>
      <c r="H363" s="6"/>
      <c r="I363" s="6"/>
      <c r="J363" s="6"/>
      <c r="K363" s="6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>
      <c r="A364" s="2"/>
      <c r="B364" s="4"/>
      <c r="C364" s="4"/>
      <c r="D364" s="4"/>
      <c r="E364" s="4"/>
      <c r="F364" s="4"/>
      <c r="G364" s="6"/>
      <c r="H364" s="6"/>
      <c r="I364" s="6"/>
      <c r="J364" s="6"/>
      <c r="K364" s="6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>
      <c r="A365" s="2"/>
      <c r="B365" s="4"/>
      <c r="C365" s="4"/>
      <c r="D365" s="4"/>
      <c r="E365" s="4"/>
      <c r="F365" s="4"/>
      <c r="G365" s="6"/>
      <c r="H365" s="6"/>
      <c r="I365" s="6"/>
      <c r="J365" s="6"/>
      <c r="K365" s="6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>
      <c r="A366" s="2"/>
      <c r="B366" s="4"/>
      <c r="C366" s="4"/>
      <c r="D366" s="4"/>
      <c r="E366" s="4"/>
      <c r="F366" s="4"/>
      <c r="G366" s="6"/>
      <c r="H366" s="6"/>
      <c r="I366" s="6"/>
      <c r="J366" s="6"/>
      <c r="K366" s="6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>
      <c r="A367" s="2"/>
      <c r="B367" s="4"/>
      <c r="C367" s="4"/>
      <c r="D367" s="4"/>
      <c r="E367" s="4"/>
      <c r="F367" s="4"/>
      <c r="G367" s="6"/>
      <c r="H367" s="6"/>
      <c r="I367" s="6"/>
      <c r="J367" s="6"/>
      <c r="K367" s="6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>
      <c r="A368" s="2"/>
      <c r="B368" s="4"/>
      <c r="C368" s="4"/>
      <c r="D368" s="4"/>
      <c r="E368" s="4"/>
      <c r="F368" s="4"/>
      <c r="G368" s="6"/>
      <c r="H368" s="6"/>
      <c r="I368" s="6"/>
      <c r="J368" s="6"/>
      <c r="K368" s="6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>
      <c r="A369" s="2"/>
      <c r="B369" s="4"/>
      <c r="C369" s="4"/>
      <c r="D369" s="4"/>
      <c r="E369" s="4"/>
      <c r="F369" s="4"/>
      <c r="G369" s="6"/>
      <c r="H369" s="6"/>
      <c r="I369" s="6"/>
      <c r="J369" s="6"/>
      <c r="K369" s="6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>
      <c r="A370" s="2"/>
      <c r="B370" s="4"/>
      <c r="C370" s="4"/>
      <c r="D370" s="4"/>
      <c r="E370" s="4"/>
      <c r="F370" s="4"/>
      <c r="G370" s="6"/>
      <c r="H370" s="6"/>
      <c r="I370" s="6"/>
      <c r="J370" s="6"/>
      <c r="K370" s="6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>
      <c r="A371" s="2"/>
      <c r="B371" s="4"/>
      <c r="C371" s="4"/>
      <c r="D371" s="4"/>
      <c r="E371" s="4"/>
      <c r="F371" s="4"/>
      <c r="G371" s="6"/>
      <c r="H371" s="6"/>
      <c r="I371" s="6"/>
      <c r="J371" s="6"/>
      <c r="K371" s="6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>
      <c r="A372" s="2"/>
      <c r="B372" s="4"/>
      <c r="C372" s="4"/>
      <c r="D372" s="4"/>
      <c r="E372" s="4"/>
      <c r="F372" s="4"/>
      <c r="G372" s="6"/>
      <c r="H372" s="6"/>
      <c r="I372" s="6"/>
      <c r="J372" s="6"/>
      <c r="K372" s="6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>
      <c r="A373" s="2"/>
      <c r="B373" s="4"/>
      <c r="C373" s="4"/>
      <c r="D373" s="4"/>
      <c r="E373" s="4"/>
      <c r="F373" s="4"/>
      <c r="G373" s="6"/>
      <c r="H373" s="6"/>
      <c r="I373" s="6"/>
      <c r="J373" s="6"/>
      <c r="K373" s="6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>
      <c r="A374" s="2"/>
      <c r="B374" s="4"/>
      <c r="C374" s="4"/>
      <c r="D374" s="4"/>
      <c r="E374" s="4"/>
      <c r="F374" s="4"/>
      <c r="G374" s="6"/>
      <c r="H374" s="6"/>
      <c r="I374" s="6"/>
      <c r="J374" s="6"/>
      <c r="K374" s="6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>
      <c r="A375" s="2"/>
      <c r="B375" s="4"/>
      <c r="C375" s="4"/>
      <c r="D375" s="4"/>
      <c r="E375" s="4"/>
      <c r="F375" s="4"/>
      <c r="G375" s="6"/>
      <c r="H375" s="6"/>
      <c r="I375" s="6"/>
      <c r="J375" s="6"/>
      <c r="K375" s="6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>
      <c r="A376" s="2"/>
      <c r="B376" s="4"/>
      <c r="C376" s="4"/>
      <c r="D376" s="4"/>
      <c r="E376" s="4"/>
      <c r="F376" s="4"/>
      <c r="G376" s="6"/>
      <c r="H376" s="6"/>
      <c r="I376" s="6"/>
      <c r="J376" s="6"/>
      <c r="K376" s="6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>
      <c r="A377" s="2"/>
      <c r="B377" s="4"/>
      <c r="C377" s="4"/>
      <c r="D377" s="4"/>
      <c r="E377" s="4"/>
      <c r="F377" s="4"/>
      <c r="G377" s="6"/>
      <c r="H377" s="6"/>
      <c r="I377" s="6"/>
      <c r="J377" s="6"/>
      <c r="K377" s="6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>
      <c r="A378" s="2"/>
      <c r="B378" s="4"/>
      <c r="C378" s="4"/>
      <c r="D378" s="4"/>
      <c r="E378" s="4"/>
      <c r="F378" s="4"/>
      <c r="G378" s="6"/>
      <c r="H378" s="6"/>
      <c r="I378" s="6"/>
      <c r="J378" s="6"/>
      <c r="K378" s="6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>
      <c r="A379" s="2"/>
      <c r="B379" s="4"/>
      <c r="C379" s="4"/>
      <c r="D379" s="4"/>
      <c r="E379" s="4"/>
      <c r="F379" s="4"/>
      <c r="G379" s="6"/>
      <c r="H379" s="6"/>
      <c r="I379" s="6"/>
      <c r="J379" s="6"/>
      <c r="K379" s="6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>
      <c r="A380" s="2"/>
      <c r="B380" s="4"/>
      <c r="C380" s="4"/>
      <c r="D380" s="4"/>
      <c r="E380" s="4"/>
      <c r="F380" s="4"/>
      <c r="G380" s="6"/>
      <c r="H380" s="6"/>
      <c r="I380" s="6"/>
      <c r="J380" s="6"/>
      <c r="K380" s="6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>
      <c r="A381" s="2"/>
      <c r="B381" s="4"/>
      <c r="C381" s="4"/>
      <c r="D381" s="4"/>
      <c r="E381" s="4"/>
      <c r="F381" s="4"/>
      <c r="G381" s="6"/>
      <c r="H381" s="6"/>
      <c r="I381" s="6"/>
      <c r="J381" s="6"/>
      <c r="K381" s="6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>
      <c r="A382" s="2"/>
      <c r="B382" s="4"/>
      <c r="C382" s="4"/>
      <c r="D382" s="4"/>
      <c r="E382" s="4"/>
      <c r="F382" s="4"/>
      <c r="G382" s="6"/>
      <c r="H382" s="6"/>
      <c r="I382" s="6"/>
      <c r="J382" s="6"/>
      <c r="K382" s="6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>
      <c r="A383" s="2"/>
      <c r="B383" s="4"/>
      <c r="C383" s="4"/>
      <c r="D383" s="4"/>
      <c r="E383" s="4"/>
      <c r="F383" s="4"/>
      <c r="G383" s="6"/>
      <c r="H383" s="6"/>
      <c r="I383" s="6"/>
      <c r="J383" s="6"/>
      <c r="K383" s="6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>
      <c r="A384" s="2"/>
      <c r="B384" s="4"/>
      <c r="C384" s="4"/>
      <c r="D384" s="4"/>
      <c r="E384" s="4"/>
      <c r="F384" s="4"/>
      <c r="G384" s="6"/>
      <c r="H384" s="6"/>
      <c r="I384" s="6"/>
      <c r="J384" s="6"/>
      <c r="K384" s="6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>
      <c r="A385" s="2"/>
      <c r="B385" s="4"/>
      <c r="C385" s="4"/>
      <c r="D385" s="4"/>
      <c r="E385" s="4"/>
      <c r="F385" s="4"/>
      <c r="G385" s="6"/>
      <c r="H385" s="6"/>
      <c r="I385" s="6"/>
      <c r="J385" s="6"/>
      <c r="K385" s="6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>
      <c r="A386" s="2"/>
      <c r="B386" s="4"/>
      <c r="C386" s="4"/>
      <c r="D386" s="4"/>
      <c r="E386" s="4"/>
      <c r="F386" s="4"/>
      <c r="G386" s="6"/>
      <c r="H386" s="6"/>
      <c r="I386" s="6"/>
      <c r="J386" s="6"/>
      <c r="K386" s="6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>
      <c r="A387" s="2"/>
      <c r="B387" s="4"/>
      <c r="C387" s="4"/>
      <c r="D387" s="4"/>
      <c r="E387" s="4"/>
      <c r="F387" s="4"/>
      <c r="G387" s="6"/>
      <c r="H387" s="6"/>
      <c r="I387" s="6"/>
      <c r="J387" s="6"/>
      <c r="K387" s="6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>
      <c r="A388" s="2"/>
      <c r="B388" s="4"/>
      <c r="C388" s="4"/>
      <c r="D388" s="4"/>
      <c r="E388" s="4"/>
      <c r="F388" s="4"/>
      <c r="G388" s="6"/>
      <c r="H388" s="6"/>
      <c r="I388" s="6"/>
      <c r="J388" s="6"/>
      <c r="K388" s="6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>
      <c r="A389" s="2"/>
      <c r="B389" s="4"/>
      <c r="C389" s="4"/>
      <c r="D389" s="4"/>
      <c r="E389" s="4"/>
      <c r="F389" s="4"/>
      <c r="G389" s="6"/>
      <c r="H389" s="6"/>
      <c r="I389" s="6"/>
      <c r="J389" s="6"/>
      <c r="K389" s="6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>
      <c r="A390" s="2"/>
      <c r="B390" s="4"/>
      <c r="C390" s="4"/>
      <c r="D390" s="4"/>
      <c r="E390" s="4"/>
      <c r="F390" s="4"/>
      <c r="G390" s="6"/>
      <c r="H390" s="6"/>
      <c r="I390" s="6"/>
      <c r="J390" s="6"/>
      <c r="K390" s="6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>
      <c r="A391" s="2"/>
      <c r="B391" s="4"/>
      <c r="C391" s="4"/>
      <c r="D391" s="4"/>
      <c r="E391" s="4"/>
      <c r="F391" s="4"/>
      <c r="G391" s="6"/>
      <c r="H391" s="6"/>
      <c r="I391" s="6"/>
      <c r="J391" s="6"/>
      <c r="K391" s="6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>
      <c r="A392" s="2"/>
      <c r="B392" s="4"/>
      <c r="C392" s="4"/>
      <c r="D392" s="4"/>
      <c r="E392" s="4"/>
      <c r="F392" s="4"/>
      <c r="G392" s="6"/>
      <c r="H392" s="6"/>
      <c r="I392" s="6"/>
      <c r="J392" s="6"/>
      <c r="K392" s="6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>
      <c r="A393" s="2"/>
      <c r="B393" s="4"/>
      <c r="C393" s="4"/>
      <c r="D393" s="4"/>
      <c r="E393" s="4"/>
      <c r="F393" s="4"/>
      <c r="G393" s="6"/>
      <c r="H393" s="6"/>
      <c r="I393" s="6"/>
      <c r="J393" s="6"/>
      <c r="K393" s="6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>
      <c r="A394" s="2"/>
      <c r="B394" s="4"/>
      <c r="C394" s="4"/>
      <c r="D394" s="4"/>
      <c r="E394" s="4"/>
      <c r="F394" s="4"/>
      <c r="G394" s="6"/>
      <c r="H394" s="6"/>
      <c r="I394" s="6"/>
      <c r="J394" s="6"/>
      <c r="K394" s="6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>
      <c r="A395" s="2"/>
      <c r="B395" s="4"/>
      <c r="C395" s="4"/>
      <c r="D395" s="4"/>
      <c r="E395" s="4"/>
      <c r="F395" s="4"/>
      <c r="G395" s="6"/>
      <c r="H395" s="6"/>
      <c r="I395" s="6"/>
      <c r="J395" s="6"/>
      <c r="K395" s="6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>
      <c r="A396" s="2"/>
      <c r="B396" s="4"/>
      <c r="C396" s="4"/>
      <c r="D396" s="4"/>
      <c r="E396" s="4"/>
      <c r="F396" s="4"/>
      <c r="G396" s="6"/>
      <c r="H396" s="6"/>
      <c r="I396" s="6"/>
      <c r="J396" s="6"/>
      <c r="K396" s="6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>
      <c r="A397" s="2"/>
      <c r="B397" s="4"/>
      <c r="C397" s="4"/>
      <c r="D397" s="4"/>
      <c r="E397" s="4"/>
      <c r="F397" s="4"/>
      <c r="G397" s="6"/>
      <c r="H397" s="6"/>
      <c r="I397" s="6"/>
      <c r="J397" s="6"/>
      <c r="K397" s="6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>
      <c r="A398" s="2"/>
      <c r="B398" s="4"/>
      <c r="C398" s="4"/>
      <c r="D398" s="4"/>
      <c r="E398" s="4"/>
      <c r="F398" s="4"/>
      <c r="G398" s="6"/>
      <c r="H398" s="6"/>
      <c r="I398" s="6"/>
      <c r="J398" s="6"/>
      <c r="K398" s="6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>
      <c r="A399" s="2"/>
      <c r="B399" s="4"/>
      <c r="C399" s="4"/>
      <c r="D399" s="4"/>
      <c r="E399" s="4"/>
      <c r="F399" s="4"/>
      <c r="G399" s="6"/>
      <c r="H399" s="6"/>
      <c r="I399" s="6"/>
      <c r="J399" s="6"/>
      <c r="K399" s="6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>
      <c r="A400" s="2"/>
      <c r="B400" s="4"/>
      <c r="C400" s="4"/>
      <c r="D400" s="4"/>
      <c r="E400" s="4"/>
      <c r="F400" s="4"/>
      <c r="G400" s="6"/>
      <c r="H400" s="6"/>
      <c r="I400" s="6"/>
      <c r="J400" s="6"/>
      <c r="K400" s="6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>
      <c r="A401" s="2"/>
      <c r="B401" s="4"/>
      <c r="C401" s="4"/>
      <c r="D401" s="4"/>
      <c r="E401" s="4"/>
      <c r="F401" s="4"/>
      <c r="G401" s="6"/>
      <c r="H401" s="6"/>
      <c r="I401" s="6"/>
      <c r="J401" s="6"/>
      <c r="K401" s="6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>
      <c r="A402" s="2"/>
      <c r="B402" s="4"/>
      <c r="C402" s="4"/>
      <c r="D402" s="4"/>
      <c r="E402" s="4"/>
      <c r="F402" s="4"/>
      <c r="G402" s="6"/>
      <c r="H402" s="6"/>
      <c r="I402" s="6"/>
      <c r="J402" s="6"/>
      <c r="K402" s="6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>
      <c r="A403" s="2"/>
      <c r="B403" s="4"/>
      <c r="C403" s="4"/>
      <c r="D403" s="4"/>
      <c r="E403" s="4"/>
      <c r="F403" s="4"/>
      <c r="G403" s="6"/>
      <c r="H403" s="6"/>
      <c r="I403" s="6"/>
      <c r="J403" s="6"/>
      <c r="K403" s="6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>
      <c r="A404" s="2"/>
      <c r="B404" s="4"/>
      <c r="C404" s="4"/>
      <c r="D404" s="4"/>
      <c r="E404" s="4"/>
      <c r="F404" s="4"/>
      <c r="G404" s="6"/>
      <c r="H404" s="6"/>
      <c r="I404" s="6"/>
      <c r="J404" s="6"/>
      <c r="K404" s="6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>
      <c r="A405" s="2"/>
      <c r="B405" s="4"/>
      <c r="C405" s="4"/>
      <c r="D405" s="4"/>
      <c r="E405" s="4"/>
      <c r="F405" s="4"/>
      <c r="G405" s="6"/>
      <c r="H405" s="6"/>
      <c r="I405" s="6"/>
      <c r="J405" s="6"/>
      <c r="K405" s="6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>
      <c r="A406" s="2"/>
      <c r="B406" s="4"/>
      <c r="C406" s="4"/>
      <c r="D406" s="4"/>
      <c r="E406" s="4"/>
      <c r="F406" s="4"/>
      <c r="G406" s="6"/>
      <c r="H406" s="6"/>
      <c r="I406" s="6"/>
      <c r="J406" s="6"/>
      <c r="K406" s="6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>
      <c r="A407" s="2"/>
      <c r="B407" s="4"/>
      <c r="C407" s="4"/>
      <c r="D407" s="4"/>
      <c r="E407" s="4"/>
      <c r="F407" s="4"/>
      <c r="G407" s="6"/>
      <c r="H407" s="6"/>
      <c r="I407" s="6"/>
      <c r="J407" s="6"/>
      <c r="K407" s="6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>
      <c r="A408" s="2"/>
      <c r="B408" s="4"/>
      <c r="C408" s="4"/>
      <c r="D408" s="4"/>
      <c r="E408" s="4"/>
      <c r="F408" s="4"/>
      <c r="G408" s="6"/>
      <c r="H408" s="6"/>
      <c r="I408" s="6"/>
      <c r="J408" s="6"/>
      <c r="K408" s="6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>
      <c r="A409" s="2"/>
      <c r="B409" s="4"/>
      <c r="C409" s="4"/>
      <c r="D409" s="4"/>
      <c r="E409" s="4"/>
      <c r="F409" s="4"/>
      <c r="G409" s="6"/>
      <c r="H409" s="6"/>
      <c r="I409" s="6"/>
      <c r="J409" s="6"/>
      <c r="K409" s="6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>
      <c r="A410" s="2"/>
      <c r="B410" s="4"/>
      <c r="C410" s="4"/>
      <c r="D410" s="4"/>
      <c r="E410" s="4"/>
      <c r="F410" s="4"/>
      <c r="G410" s="6"/>
      <c r="H410" s="6"/>
      <c r="I410" s="6"/>
      <c r="J410" s="6"/>
      <c r="K410" s="6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>
      <c r="A411" s="2"/>
      <c r="B411" s="4"/>
      <c r="C411" s="4"/>
      <c r="D411" s="4"/>
      <c r="E411" s="4"/>
      <c r="F411" s="4"/>
      <c r="G411" s="6"/>
      <c r="H411" s="6"/>
      <c r="I411" s="6"/>
      <c r="J411" s="6"/>
      <c r="K411" s="6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>
      <c r="A412" s="2"/>
      <c r="B412" s="4"/>
      <c r="C412" s="4"/>
      <c r="D412" s="4"/>
      <c r="E412" s="4"/>
      <c r="F412" s="4"/>
      <c r="G412" s="6"/>
      <c r="H412" s="6"/>
      <c r="I412" s="6"/>
      <c r="J412" s="6"/>
      <c r="K412" s="6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>
      <c r="A413" s="2"/>
      <c r="B413" s="4"/>
      <c r="C413" s="4"/>
      <c r="D413" s="4"/>
      <c r="E413" s="4"/>
      <c r="F413" s="4"/>
      <c r="G413" s="6"/>
      <c r="H413" s="6"/>
      <c r="I413" s="6"/>
      <c r="J413" s="6"/>
      <c r="K413" s="6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>
      <c r="A414" s="2"/>
      <c r="B414" s="4"/>
      <c r="C414" s="4"/>
      <c r="D414" s="4"/>
      <c r="E414" s="4"/>
      <c r="F414" s="4"/>
      <c r="G414" s="6"/>
      <c r="H414" s="6"/>
      <c r="I414" s="6"/>
      <c r="J414" s="6"/>
      <c r="K414" s="6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>
      <c r="A415" s="2"/>
      <c r="B415" s="4"/>
      <c r="C415" s="4"/>
      <c r="D415" s="4"/>
      <c r="E415" s="4"/>
      <c r="F415" s="4"/>
      <c r="G415" s="6"/>
      <c r="H415" s="6"/>
      <c r="I415" s="6"/>
      <c r="J415" s="6"/>
      <c r="K415" s="6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>
      <c r="A416" s="2"/>
      <c r="B416" s="4"/>
      <c r="C416" s="4"/>
      <c r="D416" s="4"/>
      <c r="E416" s="4"/>
      <c r="F416" s="4"/>
      <c r="G416" s="6"/>
      <c r="H416" s="6"/>
      <c r="I416" s="6"/>
      <c r="J416" s="6"/>
      <c r="K416" s="6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>
      <c r="A417" s="2"/>
      <c r="B417" s="4"/>
      <c r="C417" s="4"/>
      <c r="D417" s="4"/>
      <c r="E417" s="4"/>
      <c r="F417" s="4"/>
      <c r="G417" s="6"/>
      <c r="H417" s="6"/>
      <c r="I417" s="6"/>
      <c r="J417" s="6"/>
      <c r="K417" s="6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>
      <c r="A418" s="2"/>
      <c r="B418" s="4"/>
      <c r="C418" s="4"/>
      <c r="D418" s="4"/>
      <c r="E418" s="4"/>
      <c r="F418" s="4"/>
      <c r="G418" s="6"/>
      <c r="H418" s="6"/>
      <c r="I418" s="6"/>
      <c r="J418" s="6"/>
      <c r="K418" s="6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>
      <c r="A419" s="2"/>
      <c r="B419" s="4"/>
      <c r="C419" s="4"/>
      <c r="D419" s="4"/>
      <c r="E419" s="4"/>
      <c r="F419" s="4"/>
      <c r="G419" s="6"/>
      <c r="H419" s="6"/>
      <c r="I419" s="6"/>
      <c r="J419" s="6"/>
      <c r="K419" s="6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>
      <c r="A420" s="2"/>
      <c r="B420" s="4"/>
      <c r="C420" s="4"/>
      <c r="D420" s="4"/>
      <c r="E420" s="4"/>
      <c r="F420" s="4"/>
      <c r="G420" s="6"/>
      <c r="H420" s="6"/>
      <c r="I420" s="6"/>
      <c r="J420" s="6"/>
      <c r="K420" s="6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>
      <c r="A421" s="2"/>
      <c r="B421" s="4"/>
      <c r="C421" s="4"/>
      <c r="D421" s="4"/>
      <c r="E421" s="4"/>
      <c r="F421" s="4"/>
      <c r="G421" s="6"/>
      <c r="H421" s="6"/>
      <c r="I421" s="6"/>
      <c r="J421" s="6"/>
      <c r="K421" s="6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>
      <c r="A422" s="2"/>
      <c r="B422" s="4"/>
      <c r="C422" s="4"/>
      <c r="D422" s="4"/>
      <c r="E422" s="4"/>
      <c r="F422" s="4"/>
      <c r="G422" s="6"/>
      <c r="H422" s="6"/>
      <c r="I422" s="6"/>
      <c r="J422" s="6"/>
      <c r="K422" s="6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>
      <c r="A423" s="2"/>
      <c r="B423" s="4"/>
      <c r="C423" s="4"/>
      <c r="D423" s="4"/>
      <c r="E423" s="4"/>
      <c r="F423" s="4"/>
      <c r="G423" s="6"/>
      <c r="H423" s="6"/>
      <c r="I423" s="6"/>
      <c r="J423" s="6"/>
      <c r="K423" s="6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>
      <c r="A424" s="2"/>
      <c r="B424" s="4"/>
      <c r="C424" s="4"/>
      <c r="D424" s="4"/>
      <c r="E424" s="4"/>
      <c r="F424" s="4"/>
      <c r="G424" s="6"/>
      <c r="H424" s="6"/>
      <c r="I424" s="6"/>
      <c r="J424" s="6"/>
      <c r="K424" s="6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>
      <c r="A425" s="2"/>
      <c r="B425" s="4"/>
      <c r="C425" s="4"/>
      <c r="D425" s="4"/>
      <c r="E425" s="4"/>
      <c r="F425" s="4"/>
      <c r="G425" s="6"/>
      <c r="H425" s="6"/>
      <c r="I425" s="6"/>
      <c r="J425" s="6"/>
      <c r="K425" s="6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>
      <c r="A426" s="2"/>
      <c r="B426" s="4"/>
      <c r="C426" s="4"/>
      <c r="D426" s="4"/>
      <c r="E426" s="4"/>
      <c r="F426" s="4"/>
      <c r="G426" s="6"/>
      <c r="H426" s="6"/>
      <c r="I426" s="6"/>
      <c r="J426" s="6"/>
      <c r="K426" s="6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>
      <c r="A427" s="2"/>
      <c r="B427" s="4"/>
      <c r="C427" s="4"/>
      <c r="D427" s="4"/>
      <c r="E427" s="4"/>
      <c r="F427" s="4"/>
      <c r="G427" s="6"/>
      <c r="H427" s="6"/>
      <c r="I427" s="6"/>
      <c r="J427" s="6"/>
      <c r="K427" s="6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>
      <c r="A428" s="2"/>
      <c r="B428" s="4"/>
      <c r="C428" s="4"/>
      <c r="D428" s="4"/>
      <c r="E428" s="4"/>
      <c r="F428" s="4"/>
      <c r="G428" s="6"/>
      <c r="H428" s="6"/>
      <c r="I428" s="6"/>
      <c r="J428" s="6"/>
      <c r="K428" s="6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>
      <c r="A429" s="2"/>
      <c r="B429" s="4"/>
      <c r="C429" s="4"/>
      <c r="D429" s="4"/>
      <c r="E429" s="4"/>
      <c r="F429" s="4"/>
      <c r="G429" s="6"/>
      <c r="H429" s="6"/>
      <c r="I429" s="6"/>
      <c r="J429" s="6"/>
      <c r="K429" s="6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>
      <c r="A430" s="2"/>
      <c r="B430" s="4"/>
      <c r="C430" s="4"/>
      <c r="D430" s="4"/>
      <c r="E430" s="4"/>
      <c r="F430" s="4"/>
      <c r="G430" s="6"/>
      <c r="H430" s="6"/>
      <c r="I430" s="6"/>
      <c r="J430" s="6"/>
      <c r="K430" s="6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>
      <c r="A431" s="2"/>
      <c r="B431" s="4"/>
      <c r="C431" s="4"/>
      <c r="D431" s="4"/>
      <c r="E431" s="4"/>
      <c r="F431" s="4"/>
      <c r="G431" s="6"/>
      <c r="H431" s="6"/>
      <c r="I431" s="6"/>
      <c r="J431" s="6"/>
      <c r="K431" s="6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>
      <c r="A432" s="2"/>
      <c r="B432" s="4"/>
      <c r="C432" s="4"/>
      <c r="D432" s="4"/>
      <c r="E432" s="4"/>
      <c r="F432" s="4"/>
      <c r="G432" s="6"/>
      <c r="H432" s="6"/>
      <c r="I432" s="6"/>
      <c r="J432" s="6"/>
      <c r="K432" s="6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>
      <c r="A433" s="2"/>
      <c r="B433" s="4"/>
      <c r="C433" s="4"/>
      <c r="D433" s="4"/>
      <c r="E433" s="4"/>
      <c r="F433" s="4"/>
      <c r="G433" s="6"/>
      <c r="H433" s="6"/>
      <c r="I433" s="6"/>
      <c r="J433" s="6"/>
      <c r="K433" s="6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>
      <c r="A434" s="2"/>
      <c r="B434" s="4"/>
      <c r="C434" s="4"/>
      <c r="D434" s="4"/>
      <c r="E434" s="4"/>
      <c r="F434" s="4"/>
      <c r="G434" s="6"/>
      <c r="H434" s="6"/>
      <c r="I434" s="6"/>
      <c r="J434" s="6"/>
      <c r="K434" s="6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>
      <c r="A435" s="2"/>
      <c r="B435" s="4"/>
      <c r="C435" s="4"/>
      <c r="D435" s="4"/>
      <c r="E435" s="4"/>
      <c r="F435" s="4"/>
      <c r="G435" s="6"/>
      <c r="H435" s="6"/>
      <c r="I435" s="6"/>
      <c r="J435" s="6"/>
      <c r="K435" s="6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>
      <c r="A436" s="2"/>
      <c r="B436" s="4"/>
      <c r="C436" s="4"/>
      <c r="D436" s="4"/>
      <c r="E436" s="4"/>
      <c r="F436" s="4"/>
      <c r="G436" s="6"/>
      <c r="H436" s="6"/>
      <c r="I436" s="6"/>
      <c r="J436" s="6"/>
      <c r="K436" s="6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>
      <c r="A437" s="2"/>
      <c r="B437" s="4"/>
      <c r="C437" s="4"/>
      <c r="D437" s="4"/>
      <c r="E437" s="4"/>
      <c r="F437" s="4"/>
      <c r="G437" s="6"/>
      <c r="H437" s="6"/>
      <c r="I437" s="6"/>
      <c r="J437" s="6"/>
      <c r="K437" s="6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>
      <c r="A438" s="2"/>
      <c r="B438" s="4"/>
      <c r="C438" s="4"/>
      <c r="D438" s="4"/>
      <c r="E438" s="4"/>
      <c r="F438" s="4"/>
      <c r="G438" s="6"/>
      <c r="H438" s="6"/>
      <c r="I438" s="6"/>
      <c r="J438" s="6"/>
      <c r="K438" s="6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>
      <c r="A439" s="2"/>
      <c r="B439" s="4"/>
      <c r="C439" s="4"/>
      <c r="D439" s="4"/>
      <c r="E439" s="4"/>
      <c r="F439" s="4"/>
      <c r="G439" s="6"/>
      <c r="H439" s="6"/>
      <c r="I439" s="6"/>
      <c r="J439" s="6"/>
      <c r="K439" s="6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>
      <c r="A440" s="2"/>
      <c r="B440" s="4"/>
      <c r="C440" s="4"/>
      <c r="D440" s="4"/>
      <c r="E440" s="4"/>
      <c r="F440" s="4"/>
      <c r="G440" s="6"/>
      <c r="H440" s="6"/>
      <c r="I440" s="6"/>
      <c r="J440" s="6"/>
      <c r="K440" s="6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>
      <c r="A441" s="2"/>
      <c r="B441" s="4"/>
      <c r="C441" s="4"/>
      <c r="D441" s="4"/>
      <c r="E441" s="4"/>
      <c r="F441" s="4"/>
      <c r="G441" s="6"/>
      <c r="H441" s="6"/>
      <c r="I441" s="6"/>
      <c r="J441" s="6"/>
      <c r="K441" s="6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>
      <c r="A442" s="2"/>
      <c r="B442" s="4"/>
      <c r="C442" s="4"/>
      <c r="D442" s="4"/>
      <c r="E442" s="4"/>
      <c r="F442" s="4"/>
      <c r="G442" s="6"/>
      <c r="H442" s="6"/>
      <c r="I442" s="6"/>
      <c r="J442" s="6"/>
      <c r="K442" s="6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>
      <c r="A443" s="2"/>
      <c r="B443" s="4"/>
      <c r="C443" s="4"/>
      <c r="D443" s="4"/>
      <c r="E443" s="4"/>
      <c r="F443" s="4"/>
      <c r="G443" s="6"/>
      <c r="H443" s="6"/>
      <c r="I443" s="6"/>
      <c r="J443" s="6"/>
      <c r="K443" s="6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>
      <c r="A444" s="2"/>
      <c r="B444" s="4"/>
      <c r="C444" s="4"/>
      <c r="D444" s="4"/>
      <c r="E444" s="4"/>
      <c r="F444" s="4"/>
      <c r="G444" s="6"/>
      <c r="H444" s="6"/>
      <c r="I444" s="6"/>
      <c r="J444" s="6"/>
      <c r="K444" s="6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>
      <c r="A445" s="2"/>
      <c r="B445" s="4"/>
      <c r="C445" s="4"/>
      <c r="D445" s="4"/>
      <c r="E445" s="4"/>
      <c r="F445" s="4"/>
      <c r="G445" s="6"/>
      <c r="H445" s="6"/>
      <c r="I445" s="6"/>
      <c r="J445" s="6"/>
      <c r="K445" s="6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>
      <c r="A446" s="2"/>
      <c r="B446" s="4"/>
      <c r="C446" s="4"/>
      <c r="D446" s="4"/>
      <c r="E446" s="4"/>
      <c r="F446" s="4"/>
      <c r="G446" s="6"/>
      <c r="H446" s="6"/>
      <c r="I446" s="6"/>
      <c r="J446" s="6"/>
      <c r="K446" s="6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>
      <c r="A447" s="2"/>
      <c r="B447" s="4"/>
      <c r="C447" s="4"/>
      <c r="D447" s="4"/>
      <c r="E447" s="4"/>
      <c r="F447" s="4"/>
      <c r="G447" s="6"/>
      <c r="H447" s="6"/>
      <c r="I447" s="6"/>
      <c r="J447" s="6"/>
      <c r="K447" s="6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>
      <c r="A448" s="2"/>
      <c r="B448" s="4"/>
      <c r="C448" s="4"/>
      <c r="D448" s="4"/>
      <c r="E448" s="4"/>
      <c r="F448" s="4"/>
      <c r="G448" s="6"/>
      <c r="H448" s="6"/>
      <c r="I448" s="6"/>
      <c r="J448" s="6"/>
      <c r="K448" s="6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>
      <c r="A449" s="2"/>
      <c r="B449" s="4"/>
      <c r="C449" s="4"/>
      <c r="D449" s="4"/>
      <c r="E449" s="4"/>
      <c r="F449" s="4"/>
      <c r="G449" s="6"/>
      <c r="H449" s="6"/>
      <c r="I449" s="6"/>
      <c r="J449" s="6"/>
      <c r="K449" s="6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>
      <c r="A450" s="2"/>
      <c r="B450" s="4"/>
      <c r="C450" s="4"/>
      <c r="D450" s="4"/>
      <c r="E450" s="4"/>
      <c r="F450" s="4"/>
      <c r="G450" s="6"/>
      <c r="H450" s="6"/>
      <c r="I450" s="6"/>
      <c r="J450" s="6"/>
      <c r="K450" s="6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>
      <c r="A451" s="2"/>
      <c r="B451" s="4"/>
      <c r="C451" s="4"/>
      <c r="D451" s="4"/>
      <c r="E451" s="4"/>
      <c r="F451" s="4"/>
      <c r="G451" s="6"/>
      <c r="H451" s="6"/>
      <c r="I451" s="6"/>
      <c r="J451" s="6"/>
      <c r="K451" s="6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>
      <c r="A452" s="2"/>
      <c r="B452" s="4"/>
      <c r="C452" s="4"/>
      <c r="D452" s="4"/>
      <c r="E452" s="4"/>
      <c r="F452" s="4"/>
      <c r="G452" s="6"/>
      <c r="H452" s="6"/>
      <c r="I452" s="6"/>
      <c r="J452" s="6"/>
      <c r="K452" s="6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>
      <c r="A453" s="2"/>
      <c r="B453" s="4"/>
      <c r="C453" s="4"/>
      <c r="D453" s="4"/>
      <c r="E453" s="4"/>
      <c r="F453" s="4"/>
      <c r="G453" s="6"/>
      <c r="H453" s="6"/>
      <c r="I453" s="6"/>
      <c r="J453" s="6"/>
      <c r="K453" s="6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>
      <c r="A454" s="2"/>
      <c r="B454" s="4"/>
      <c r="C454" s="4"/>
      <c r="D454" s="4"/>
      <c r="E454" s="4"/>
      <c r="F454" s="4"/>
      <c r="G454" s="6"/>
      <c r="H454" s="6"/>
      <c r="I454" s="6"/>
      <c r="J454" s="6"/>
      <c r="K454" s="6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>
      <c r="A455" s="2"/>
      <c r="B455" s="4"/>
      <c r="C455" s="4"/>
      <c r="D455" s="4"/>
      <c r="E455" s="4"/>
      <c r="F455" s="4"/>
      <c r="G455" s="6"/>
      <c r="H455" s="6"/>
      <c r="I455" s="6"/>
      <c r="J455" s="6"/>
      <c r="K455" s="6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>
      <c r="A456" s="2"/>
      <c r="B456" s="4"/>
      <c r="C456" s="4"/>
      <c r="D456" s="4"/>
      <c r="E456" s="4"/>
      <c r="F456" s="4"/>
      <c r="G456" s="6"/>
      <c r="H456" s="6"/>
      <c r="I456" s="6"/>
      <c r="J456" s="6"/>
      <c r="K456" s="6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>
      <c r="A457" s="2"/>
      <c r="B457" s="4"/>
      <c r="C457" s="4"/>
      <c r="D457" s="4"/>
      <c r="E457" s="4"/>
      <c r="F457" s="4"/>
      <c r="G457" s="6"/>
      <c r="H457" s="6"/>
      <c r="I457" s="6"/>
      <c r="J457" s="6"/>
      <c r="K457" s="6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>
      <c r="A458" s="2"/>
      <c r="B458" s="4"/>
      <c r="C458" s="4"/>
      <c r="D458" s="4"/>
      <c r="E458" s="4"/>
      <c r="F458" s="4"/>
      <c r="G458" s="6"/>
      <c r="H458" s="6"/>
      <c r="I458" s="6"/>
      <c r="J458" s="6"/>
      <c r="K458" s="6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>
      <c r="A459" s="2"/>
      <c r="B459" s="4"/>
      <c r="C459" s="4"/>
      <c r="D459" s="4"/>
      <c r="E459" s="4"/>
      <c r="F459" s="4"/>
      <c r="G459" s="6"/>
      <c r="H459" s="6"/>
      <c r="I459" s="6"/>
      <c r="J459" s="6"/>
      <c r="K459" s="6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>
      <c r="A460" s="2"/>
      <c r="B460" s="4"/>
      <c r="C460" s="4"/>
      <c r="D460" s="4"/>
      <c r="E460" s="4"/>
      <c r="F460" s="4"/>
      <c r="G460" s="6"/>
      <c r="H460" s="6"/>
      <c r="I460" s="6"/>
      <c r="J460" s="6"/>
      <c r="K460" s="6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>
      <c r="A461" s="2"/>
      <c r="B461" s="4"/>
      <c r="C461" s="4"/>
      <c r="D461" s="4"/>
      <c r="E461" s="4"/>
      <c r="F461" s="4"/>
      <c r="G461" s="6"/>
      <c r="H461" s="6"/>
      <c r="I461" s="6"/>
      <c r="J461" s="6"/>
      <c r="K461" s="6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>
      <c r="A462" s="2"/>
      <c r="B462" s="4"/>
      <c r="C462" s="4"/>
      <c r="D462" s="4"/>
      <c r="E462" s="4"/>
      <c r="F462" s="4"/>
      <c r="G462" s="6"/>
      <c r="H462" s="6"/>
      <c r="I462" s="6"/>
      <c r="J462" s="6"/>
      <c r="K462" s="6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>
      <c r="A463" s="2"/>
      <c r="B463" s="4"/>
      <c r="C463" s="4"/>
      <c r="D463" s="4"/>
      <c r="E463" s="4"/>
      <c r="F463" s="4"/>
      <c r="G463" s="6"/>
      <c r="H463" s="6"/>
      <c r="I463" s="6"/>
      <c r="J463" s="6"/>
      <c r="K463" s="6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>
      <c r="A464" s="2"/>
      <c r="B464" s="4"/>
      <c r="C464" s="4"/>
      <c r="D464" s="4"/>
      <c r="E464" s="4"/>
      <c r="F464" s="4"/>
      <c r="G464" s="6"/>
      <c r="H464" s="6"/>
      <c r="I464" s="6"/>
      <c r="J464" s="6"/>
      <c r="K464" s="6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>
      <c r="A465" s="2"/>
      <c r="B465" s="4"/>
      <c r="C465" s="4"/>
      <c r="D465" s="4"/>
      <c r="E465" s="4"/>
      <c r="F465" s="4"/>
      <c r="G465" s="6"/>
      <c r="H465" s="6"/>
      <c r="I465" s="6"/>
      <c r="J465" s="6"/>
      <c r="K465" s="6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>
      <c r="A466" s="2"/>
      <c r="B466" s="4"/>
      <c r="C466" s="4"/>
      <c r="D466" s="4"/>
      <c r="E466" s="4"/>
      <c r="F466" s="4"/>
      <c r="G466" s="6"/>
      <c r="H466" s="6"/>
      <c r="I466" s="6"/>
      <c r="J466" s="6"/>
      <c r="K466" s="6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>
      <c r="A467" s="2"/>
      <c r="B467" s="4"/>
      <c r="C467" s="4"/>
      <c r="D467" s="4"/>
      <c r="E467" s="4"/>
      <c r="F467" s="4"/>
      <c r="G467" s="6"/>
      <c r="H467" s="6"/>
      <c r="I467" s="6"/>
      <c r="J467" s="6"/>
      <c r="K467" s="6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>
      <c r="A468" s="2"/>
      <c r="B468" s="4"/>
      <c r="C468" s="4"/>
      <c r="D468" s="4"/>
      <c r="E468" s="4"/>
      <c r="F468" s="4"/>
      <c r="G468" s="6"/>
      <c r="H468" s="6"/>
      <c r="I468" s="6"/>
      <c r="J468" s="6"/>
      <c r="K468" s="6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>
      <c r="A469" s="2"/>
      <c r="B469" s="4"/>
      <c r="C469" s="4"/>
      <c r="D469" s="4"/>
      <c r="E469" s="4"/>
      <c r="F469" s="4"/>
      <c r="G469" s="6"/>
      <c r="H469" s="6"/>
      <c r="I469" s="6"/>
      <c r="J469" s="6"/>
      <c r="K469" s="6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>
      <c r="A470" s="2"/>
      <c r="B470" s="4"/>
      <c r="C470" s="4"/>
      <c r="D470" s="4"/>
      <c r="E470" s="4"/>
      <c r="F470" s="4"/>
      <c r="G470" s="6"/>
      <c r="H470" s="6"/>
      <c r="I470" s="6"/>
      <c r="J470" s="6"/>
      <c r="K470" s="6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>
      <c r="A471" s="2"/>
      <c r="B471" s="4"/>
      <c r="C471" s="4"/>
      <c r="D471" s="4"/>
      <c r="E471" s="4"/>
      <c r="F471" s="4"/>
      <c r="G471" s="6"/>
      <c r="H471" s="6"/>
      <c r="I471" s="6"/>
      <c r="J471" s="6"/>
      <c r="K471" s="6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>
      <c r="A472" s="2"/>
      <c r="B472" s="4"/>
      <c r="C472" s="4"/>
      <c r="D472" s="4"/>
      <c r="E472" s="4"/>
      <c r="F472" s="4"/>
      <c r="G472" s="6"/>
      <c r="H472" s="6"/>
      <c r="I472" s="6"/>
      <c r="J472" s="6"/>
      <c r="K472" s="6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>
      <c r="A473" s="2"/>
      <c r="B473" s="4"/>
      <c r="C473" s="4"/>
      <c r="D473" s="4"/>
      <c r="E473" s="4"/>
      <c r="F473" s="4"/>
      <c r="G473" s="6"/>
      <c r="H473" s="6"/>
      <c r="I473" s="6"/>
      <c r="J473" s="6"/>
      <c r="K473" s="6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>
      <c r="A474" s="2"/>
      <c r="B474" s="4"/>
      <c r="C474" s="4"/>
      <c r="D474" s="4"/>
      <c r="E474" s="4"/>
      <c r="F474" s="4"/>
      <c r="G474" s="6"/>
      <c r="H474" s="6"/>
      <c r="I474" s="6"/>
      <c r="J474" s="6"/>
      <c r="K474" s="6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>
      <c r="A475" s="2"/>
      <c r="B475" s="4"/>
      <c r="C475" s="4"/>
      <c r="D475" s="4"/>
      <c r="E475" s="4"/>
      <c r="F475" s="4"/>
      <c r="G475" s="6"/>
      <c r="H475" s="6"/>
      <c r="I475" s="6"/>
      <c r="J475" s="6"/>
      <c r="K475" s="6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>
      <c r="A476" s="2"/>
      <c r="B476" s="4"/>
      <c r="C476" s="4"/>
      <c r="D476" s="4"/>
      <c r="E476" s="4"/>
      <c r="F476" s="4"/>
      <c r="G476" s="6"/>
      <c r="H476" s="6"/>
      <c r="I476" s="6"/>
      <c r="J476" s="6"/>
      <c r="K476" s="6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>
      <c r="A477" s="2"/>
      <c r="B477" s="4"/>
      <c r="C477" s="4"/>
      <c r="D477" s="4"/>
      <c r="E477" s="4"/>
      <c r="F477" s="4"/>
      <c r="G477" s="6"/>
      <c r="H477" s="6"/>
      <c r="I477" s="6"/>
      <c r="J477" s="6"/>
      <c r="K477" s="6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>
      <c r="A478" s="2"/>
      <c r="B478" s="4"/>
      <c r="C478" s="4"/>
      <c r="D478" s="4"/>
      <c r="E478" s="4"/>
      <c r="F478" s="4"/>
      <c r="G478" s="6"/>
      <c r="H478" s="6"/>
      <c r="I478" s="6"/>
      <c r="J478" s="6"/>
      <c r="K478" s="6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>
      <c r="A479" s="2"/>
      <c r="B479" s="4"/>
      <c r="C479" s="4"/>
      <c r="D479" s="4"/>
      <c r="E479" s="4"/>
      <c r="F479" s="4"/>
      <c r="G479" s="6"/>
      <c r="H479" s="6"/>
      <c r="I479" s="6"/>
      <c r="J479" s="6"/>
      <c r="K479" s="6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>
      <c r="A480" s="2"/>
      <c r="B480" s="4"/>
      <c r="C480" s="4"/>
      <c r="D480" s="4"/>
      <c r="E480" s="4"/>
      <c r="F480" s="4"/>
      <c r="G480" s="6"/>
      <c r="H480" s="6"/>
      <c r="I480" s="6"/>
      <c r="J480" s="6"/>
      <c r="K480" s="6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>
      <c r="A481" s="2"/>
      <c r="B481" s="4"/>
      <c r="C481" s="4"/>
      <c r="D481" s="4"/>
      <c r="E481" s="4"/>
      <c r="F481" s="4"/>
      <c r="G481" s="6"/>
      <c r="H481" s="6"/>
      <c r="I481" s="6"/>
      <c r="J481" s="6"/>
      <c r="K481" s="6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>
      <c r="A482" s="2"/>
      <c r="B482" s="4"/>
      <c r="C482" s="4"/>
      <c r="D482" s="4"/>
      <c r="E482" s="4"/>
      <c r="F482" s="4"/>
      <c r="G482" s="6"/>
      <c r="H482" s="6"/>
      <c r="I482" s="6"/>
      <c r="J482" s="6"/>
      <c r="K482" s="6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>
      <c r="A483" s="2"/>
      <c r="B483" s="4"/>
      <c r="C483" s="4"/>
      <c r="D483" s="4"/>
      <c r="E483" s="4"/>
      <c r="F483" s="4"/>
      <c r="G483" s="6"/>
      <c r="H483" s="6"/>
      <c r="I483" s="6"/>
      <c r="J483" s="6"/>
      <c r="K483" s="6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>
      <c r="A484" s="2"/>
      <c r="B484" s="4"/>
      <c r="C484" s="4"/>
      <c r="D484" s="4"/>
      <c r="E484" s="4"/>
      <c r="F484" s="4"/>
      <c r="G484" s="6"/>
      <c r="H484" s="6"/>
      <c r="I484" s="6"/>
      <c r="J484" s="6"/>
      <c r="K484" s="6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>
      <c r="A485" s="2"/>
      <c r="B485" s="4"/>
      <c r="C485" s="4"/>
      <c r="D485" s="4"/>
      <c r="E485" s="4"/>
      <c r="F485" s="4"/>
      <c r="G485" s="6"/>
      <c r="H485" s="6"/>
      <c r="I485" s="6"/>
      <c r="J485" s="6"/>
      <c r="K485" s="6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>
      <c r="A486" s="2"/>
      <c r="B486" s="4"/>
      <c r="C486" s="4"/>
      <c r="D486" s="4"/>
      <c r="E486" s="4"/>
      <c r="F486" s="4"/>
      <c r="G486" s="6"/>
      <c r="H486" s="6"/>
      <c r="I486" s="6"/>
      <c r="J486" s="6"/>
      <c r="K486" s="6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>
      <c r="A487" s="2"/>
      <c r="B487" s="4"/>
      <c r="C487" s="4"/>
      <c r="D487" s="4"/>
      <c r="E487" s="4"/>
      <c r="F487" s="4"/>
      <c r="G487" s="6"/>
      <c r="H487" s="6"/>
      <c r="I487" s="6"/>
      <c r="J487" s="6"/>
      <c r="K487" s="6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>
      <c r="A488" s="2"/>
      <c r="B488" s="4"/>
      <c r="C488" s="4"/>
      <c r="D488" s="4"/>
      <c r="E488" s="4"/>
      <c r="F488" s="4"/>
      <c r="G488" s="6"/>
      <c r="H488" s="6"/>
      <c r="I488" s="6"/>
      <c r="J488" s="6"/>
      <c r="K488" s="6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>
      <c r="A489" s="2"/>
      <c r="B489" s="4"/>
      <c r="C489" s="4"/>
      <c r="D489" s="4"/>
      <c r="E489" s="4"/>
      <c r="F489" s="4"/>
      <c r="G489" s="6"/>
      <c r="H489" s="6"/>
      <c r="I489" s="6"/>
      <c r="J489" s="6"/>
      <c r="K489" s="6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>
      <c r="A490" s="2"/>
      <c r="B490" s="4"/>
      <c r="C490" s="4"/>
      <c r="D490" s="4"/>
      <c r="E490" s="4"/>
      <c r="F490" s="4"/>
      <c r="G490" s="6"/>
      <c r="H490" s="6"/>
      <c r="I490" s="6"/>
      <c r="J490" s="6"/>
      <c r="K490" s="6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>
      <c r="A491" s="2"/>
      <c r="B491" s="4"/>
      <c r="C491" s="4"/>
      <c r="D491" s="4"/>
      <c r="E491" s="4"/>
      <c r="F491" s="4"/>
      <c r="G491" s="6"/>
      <c r="H491" s="6"/>
      <c r="I491" s="6"/>
      <c r="J491" s="6"/>
      <c r="K491" s="6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>
      <c r="A492" s="2"/>
      <c r="B492" s="4"/>
      <c r="C492" s="4"/>
      <c r="D492" s="4"/>
      <c r="E492" s="4"/>
      <c r="F492" s="4"/>
      <c r="G492" s="6"/>
      <c r="H492" s="6"/>
      <c r="I492" s="6"/>
      <c r="J492" s="6"/>
      <c r="K492" s="6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>
      <c r="A493" s="2"/>
      <c r="B493" s="4"/>
      <c r="C493" s="4"/>
      <c r="D493" s="4"/>
      <c r="E493" s="4"/>
      <c r="F493" s="4"/>
      <c r="G493" s="6"/>
      <c r="H493" s="6"/>
      <c r="I493" s="6"/>
      <c r="J493" s="6"/>
      <c r="K493" s="6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>
      <c r="A494" s="2"/>
      <c r="B494" s="4"/>
      <c r="C494" s="4"/>
      <c r="D494" s="4"/>
      <c r="E494" s="4"/>
      <c r="F494" s="4"/>
      <c r="G494" s="6"/>
      <c r="H494" s="6"/>
      <c r="I494" s="6"/>
      <c r="J494" s="6"/>
      <c r="K494" s="6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>
      <c r="A495" s="2"/>
      <c r="B495" s="4"/>
      <c r="C495" s="4"/>
      <c r="D495" s="4"/>
      <c r="E495" s="4"/>
      <c r="F495" s="4"/>
      <c r="G495" s="6"/>
      <c r="H495" s="6"/>
      <c r="I495" s="6"/>
      <c r="J495" s="6"/>
      <c r="K495" s="6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>
      <c r="A496" s="2"/>
      <c r="B496" s="4"/>
      <c r="C496" s="4"/>
      <c r="D496" s="4"/>
      <c r="E496" s="4"/>
      <c r="F496" s="4"/>
      <c r="G496" s="6"/>
      <c r="H496" s="6"/>
      <c r="I496" s="6"/>
      <c r="J496" s="6"/>
      <c r="K496" s="6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>
      <c r="A497" s="2"/>
      <c r="B497" s="4"/>
      <c r="C497" s="4"/>
      <c r="D497" s="4"/>
      <c r="E497" s="4"/>
      <c r="F497" s="4"/>
      <c r="G497" s="6"/>
      <c r="H497" s="6"/>
      <c r="I497" s="6"/>
      <c r="J497" s="6"/>
      <c r="K497" s="6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>
      <c r="A498" s="2"/>
      <c r="B498" s="4"/>
      <c r="C498" s="4"/>
      <c r="D498" s="4"/>
      <c r="E498" s="4"/>
      <c r="F498" s="4"/>
      <c r="G498" s="6"/>
      <c r="H498" s="6"/>
      <c r="I498" s="6"/>
      <c r="J498" s="6"/>
      <c r="K498" s="6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>
      <c r="A499" s="2"/>
      <c r="B499" s="4"/>
      <c r="C499" s="4"/>
      <c r="D499" s="4"/>
      <c r="E499" s="4"/>
      <c r="F499" s="4"/>
      <c r="G499" s="6"/>
      <c r="H499" s="6"/>
      <c r="I499" s="6"/>
      <c r="J499" s="6"/>
      <c r="K499" s="6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>
      <c r="A500" s="2"/>
      <c r="B500" s="4"/>
      <c r="C500" s="4"/>
      <c r="D500" s="4"/>
      <c r="E500" s="4"/>
      <c r="F500" s="4"/>
      <c r="G500" s="6"/>
      <c r="H500" s="6"/>
      <c r="I500" s="6"/>
      <c r="J500" s="6"/>
      <c r="K500" s="6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>
      <c r="A501" s="2"/>
      <c r="B501" s="4"/>
      <c r="C501" s="4"/>
      <c r="D501" s="4"/>
      <c r="E501" s="4"/>
      <c r="F501" s="4"/>
      <c r="G501" s="6"/>
      <c r="H501" s="6"/>
      <c r="I501" s="6"/>
      <c r="J501" s="6"/>
      <c r="K501" s="6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>
      <c r="A502" s="2"/>
      <c r="B502" s="4"/>
      <c r="C502" s="4"/>
      <c r="D502" s="4"/>
      <c r="E502" s="4"/>
      <c r="F502" s="4"/>
      <c r="G502" s="6"/>
      <c r="H502" s="6"/>
      <c r="I502" s="6"/>
      <c r="J502" s="6"/>
      <c r="K502" s="6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>
      <c r="A503" s="2"/>
      <c r="B503" s="4"/>
      <c r="C503" s="4"/>
      <c r="D503" s="4"/>
      <c r="E503" s="4"/>
      <c r="F503" s="4"/>
      <c r="G503" s="6"/>
      <c r="H503" s="6"/>
      <c r="I503" s="6"/>
      <c r="J503" s="6"/>
      <c r="K503" s="6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>
      <c r="A504" s="2"/>
      <c r="B504" s="4"/>
      <c r="C504" s="4"/>
      <c r="D504" s="4"/>
      <c r="E504" s="4"/>
      <c r="F504" s="4"/>
      <c r="G504" s="6"/>
      <c r="H504" s="6"/>
      <c r="I504" s="6"/>
      <c r="J504" s="6"/>
      <c r="K504" s="6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>
      <c r="A505" s="2"/>
      <c r="B505" s="4"/>
      <c r="C505" s="4"/>
      <c r="D505" s="4"/>
      <c r="E505" s="4"/>
      <c r="F505" s="4"/>
      <c r="G505" s="6"/>
      <c r="H505" s="6"/>
      <c r="I505" s="6"/>
      <c r="J505" s="6"/>
      <c r="K505" s="6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>
      <c r="A506" s="2"/>
      <c r="B506" s="4"/>
      <c r="C506" s="4"/>
      <c r="D506" s="4"/>
      <c r="E506" s="4"/>
      <c r="F506" s="4"/>
      <c r="G506" s="6"/>
      <c r="H506" s="6"/>
      <c r="I506" s="6"/>
      <c r="J506" s="6"/>
      <c r="K506" s="6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>
      <c r="A507" s="2"/>
      <c r="B507" s="4"/>
      <c r="C507" s="4"/>
      <c r="D507" s="4"/>
      <c r="E507" s="4"/>
      <c r="F507" s="4"/>
      <c r="G507" s="6"/>
      <c r="H507" s="6"/>
      <c r="I507" s="6"/>
      <c r="J507" s="6"/>
      <c r="K507" s="6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>
      <c r="A508" s="2"/>
      <c r="B508" s="4"/>
      <c r="C508" s="4"/>
      <c r="D508" s="4"/>
      <c r="E508" s="4"/>
      <c r="F508" s="4"/>
      <c r="G508" s="6"/>
      <c r="H508" s="6"/>
      <c r="I508" s="6"/>
      <c r="J508" s="6"/>
      <c r="K508" s="6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>
      <c r="A509" s="2"/>
      <c r="B509" s="4"/>
      <c r="C509" s="4"/>
      <c r="D509" s="4"/>
      <c r="E509" s="4"/>
      <c r="F509" s="4"/>
      <c r="G509" s="6"/>
      <c r="H509" s="6"/>
      <c r="I509" s="6"/>
      <c r="J509" s="6"/>
      <c r="K509" s="6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>
      <c r="A510" s="2"/>
      <c r="B510" s="4"/>
      <c r="C510" s="4"/>
      <c r="D510" s="4"/>
      <c r="E510" s="4"/>
      <c r="F510" s="4"/>
      <c r="G510" s="6"/>
      <c r="H510" s="6"/>
      <c r="I510" s="6"/>
      <c r="J510" s="6"/>
      <c r="K510" s="6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>
      <c r="A511" s="2"/>
      <c r="B511" s="4"/>
      <c r="C511" s="4"/>
      <c r="D511" s="4"/>
      <c r="E511" s="4"/>
      <c r="F511" s="4"/>
      <c r="G511" s="6"/>
      <c r="H511" s="6"/>
      <c r="I511" s="6"/>
      <c r="J511" s="6"/>
      <c r="K511" s="6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>
      <c r="A512" s="2"/>
      <c r="B512" s="4"/>
      <c r="C512" s="4"/>
      <c r="D512" s="4"/>
      <c r="E512" s="4"/>
      <c r="F512" s="4"/>
      <c r="G512" s="6"/>
      <c r="H512" s="6"/>
      <c r="I512" s="6"/>
      <c r="J512" s="6"/>
      <c r="K512" s="6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>
      <c r="A513" s="2"/>
      <c r="B513" s="4"/>
      <c r="C513" s="4"/>
      <c r="D513" s="4"/>
      <c r="E513" s="4"/>
      <c r="F513" s="4"/>
      <c r="G513" s="6"/>
      <c r="H513" s="6"/>
      <c r="I513" s="6"/>
      <c r="J513" s="6"/>
      <c r="K513" s="6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>
      <c r="A514" s="2"/>
      <c r="B514" s="4"/>
      <c r="C514" s="4"/>
      <c r="D514" s="4"/>
      <c r="E514" s="4"/>
      <c r="F514" s="4"/>
      <c r="G514" s="6"/>
      <c r="H514" s="6"/>
      <c r="I514" s="6"/>
      <c r="J514" s="6"/>
      <c r="K514" s="6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>
      <c r="A515" s="2"/>
      <c r="B515" s="4"/>
      <c r="C515" s="4"/>
      <c r="D515" s="4"/>
      <c r="E515" s="4"/>
      <c r="F515" s="4"/>
      <c r="G515" s="6"/>
      <c r="H515" s="6"/>
      <c r="I515" s="6"/>
      <c r="J515" s="6"/>
      <c r="K515" s="6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>
      <c r="A516" s="2"/>
      <c r="B516" s="4"/>
      <c r="C516" s="4"/>
      <c r="D516" s="4"/>
      <c r="E516" s="4"/>
      <c r="F516" s="4"/>
      <c r="G516" s="6"/>
      <c r="H516" s="6"/>
      <c r="I516" s="6"/>
      <c r="J516" s="6"/>
      <c r="K516" s="6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>
      <c r="A517" s="2"/>
      <c r="B517" s="4"/>
      <c r="C517" s="4"/>
      <c r="D517" s="4"/>
      <c r="E517" s="4"/>
      <c r="F517" s="4"/>
      <c r="G517" s="6"/>
      <c r="H517" s="6"/>
      <c r="I517" s="6"/>
      <c r="J517" s="6"/>
      <c r="K517" s="6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>
      <c r="A518" s="2"/>
      <c r="B518" s="4"/>
      <c r="C518" s="4"/>
      <c r="D518" s="4"/>
      <c r="E518" s="4"/>
      <c r="F518" s="4"/>
      <c r="G518" s="6"/>
      <c r="H518" s="6"/>
      <c r="I518" s="6"/>
      <c r="J518" s="6"/>
      <c r="K518" s="6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>
      <c r="A519" s="2"/>
      <c r="B519" s="4"/>
      <c r="C519" s="4"/>
      <c r="D519" s="4"/>
      <c r="E519" s="4"/>
      <c r="F519" s="4"/>
      <c r="G519" s="6"/>
      <c r="H519" s="6"/>
      <c r="I519" s="6"/>
      <c r="J519" s="6"/>
      <c r="K519" s="6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>
      <c r="A520" s="2"/>
      <c r="B520" s="4"/>
      <c r="C520" s="4"/>
      <c r="D520" s="4"/>
      <c r="E520" s="4"/>
      <c r="F520" s="4"/>
      <c r="G520" s="6"/>
      <c r="H520" s="6"/>
      <c r="I520" s="6"/>
      <c r="J520" s="6"/>
      <c r="K520" s="6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>
      <c r="A521" s="2"/>
      <c r="B521" s="4"/>
      <c r="C521" s="4"/>
      <c r="D521" s="4"/>
      <c r="E521" s="4"/>
      <c r="F521" s="4"/>
      <c r="G521" s="6"/>
      <c r="H521" s="6"/>
      <c r="I521" s="6"/>
      <c r="J521" s="6"/>
      <c r="K521" s="6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>
      <c r="A522" s="2"/>
      <c r="B522" s="4"/>
      <c r="C522" s="4"/>
      <c r="D522" s="4"/>
      <c r="E522" s="4"/>
      <c r="F522" s="4"/>
      <c r="G522" s="6"/>
      <c r="H522" s="6"/>
      <c r="I522" s="6"/>
      <c r="J522" s="6"/>
      <c r="K522" s="6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>
      <c r="A523" s="2"/>
      <c r="B523" s="4"/>
      <c r="C523" s="4"/>
      <c r="D523" s="4"/>
      <c r="E523" s="4"/>
      <c r="F523" s="4"/>
      <c r="G523" s="6"/>
      <c r="H523" s="6"/>
      <c r="I523" s="6"/>
      <c r="J523" s="6"/>
      <c r="K523" s="6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>
      <c r="A524" s="2"/>
      <c r="B524" s="4"/>
      <c r="C524" s="4"/>
      <c r="D524" s="4"/>
      <c r="E524" s="4"/>
      <c r="F524" s="4"/>
      <c r="G524" s="6"/>
      <c r="H524" s="6"/>
      <c r="I524" s="6"/>
      <c r="J524" s="6"/>
      <c r="K524" s="6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>
      <c r="A525" s="2"/>
      <c r="B525" s="4"/>
      <c r="C525" s="4"/>
      <c r="D525" s="4"/>
      <c r="E525" s="4"/>
      <c r="F525" s="4"/>
      <c r="G525" s="6"/>
      <c r="H525" s="6"/>
      <c r="I525" s="6"/>
      <c r="J525" s="6"/>
      <c r="K525" s="6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>
      <c r="A526" s="2"/>
      <c r="B526" s="4"/>
      <c r="C526" s="4"/>
      <c r="D526" s="4"/>
      <c r="E526" s="4"/>
      <c r="F526" s="4"/>
      <c r="G526" s="6"/>
      <c r="H526" s="6"/>
      <c r="I526" s="6"/>
      <c r="J526" s="6"/>
      <c r="K526" s="6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>
      <c r="A527" s="2"/>
      <c r="B527" s="4"/>
      <c r="C527" s="4"/>
      <c r="D527" s="4"/>
      <c r="E527" s="4"/>
      <c r="F527" s="4"/>
      <c r="G527" s="6"/>
      <c r="H527" s="6"/>
      <c r="I527" s="6"/>
      <c r="J527" s="6"/>
      <c r="K527" s="6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>
      <c r="A528" s="2"/>
      <c r="B528" s="4"/>
      <c r="C528" s="4"/>
      <c r="D528" s="4"/>
      <c r="E528" s="4"/>
      <c r="F528" s="4"/>
      <c r="G528" s="6"/>
      <c r="H528" s="6"/>
      <c r="I528" s="6"/>
      <c r="J528" s="6"/>
      <c r="K528" s="6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>
      <c r="A529" s="2"/>
      <c r="B529" s="4"/>
      <c r="C529" s="4"/>
      <c r="D529" s="4"/>
      <c r="E529" s="4"/>
      <c r="F529" s="4"/>
      <c r="G529" s="6"/>
      <c r="H529" s="6"/>
      <c r="I529" s="6"/>
      <c r="J529" s="6"/>
      <c r="K529" s="6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>
      <c r="A530" s="2"/>
      <c r="B530" s="4"/>
      <c r="C530" s="4"/>
      <c r="D530" s="4"/>
      <c r="E530" s="4"/>
      <c r="F530" s="4"/>
      <c r="G530" s="6"/>
      <c r="H530" s="6"/>
      <c r="I530" s="6"/>
      <c r="J530" s="6"/>
      <c r="K530" s="6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>
      <c r="A531" s="2"/>
      <c r="B531" s="4"/>
      <c r="C531" s="4"/>
      <c r="D531" s="4"/>
      <c r="E531" s="4"/>
      <c r="F531" s="4"/>
      <c r="G531" s="6"/>
      <c r="H531" s="6"/>
      <c r="I531" s="6"/>
      <c r="J531" s="6"/>
      <c r="K531" s="6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>
      <c r="A532" s="2"/>
      <c r="B532" s="4"/>
      <c r="C532" s="4"/>
      <c r="D532" s="4"/>
      <c r="E532" s="4"/>
      <c r="F532" s="4"/>
      <c r="G532" s="6"/>
      <c r="H532" s="6"/>
      <c r="I532" s="6"/>
      <c r="J532" s="6"/>
      <c r="K532" s="6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>
      <c r="A533" s="2"/>
      <c r="B533" s="4"/>
      <c r="C533" s="4"/>
      <c r="D533" s="4"/>
      <c r="E533" s="4"/>
      <c r="F533" s="4"/>
      <c r="G533" s="6"/>
      <c r="H533" s="6"/>
      <c r="I533" s="6"/>
      <c r="J533" s="6"/>
      <c r="K533" s="6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>
      <c r="A534" s="2"/>
      <c r="B534" s="4"/>
      <c r="C534" s="4"/>
      <c r="D534" s="4"/>
      <c r="E534" s="4"/>
      <c r="F534" s="4"/>
      <c r="G534" s="6"/>
      <c r="H534" s="6"/>
      <c r="I534" s="6"/>
      <c r="J534" s="6"/>
      <c r="K534" s="6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>
      <c r="A535" s="2"/>
      <c r="B535" s="4"/>
      <c r="C535" s="4"/>
      <c r="D535" s="4"/>
      <c r="E535" s="4"/>
      <c r="F535" s="4"/>
      <c r="G535" s="6"/>
      <c r="H535" s="6"/>
      <c r="I535" s="6"/>
      <c r="J535" s="6"/>
      <c r="K535" s="6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>
      <c r="A536" s="2"/>
      <c r="B536" s="4"/>
      <c r="C536" s="4"/>
      <c r="D536" s="4"/>
      <c r="E536" s="4"/>
      <c r="F536" s="4"/>
      <c r="G536" s="6"/>
      <c r="H536" s="6"/>
      <c r="I536" s="6"/>
      <c r="J536" s="6"/>
      <c r="K536" s="6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>
      <c r="A537" s="2"/>
      <c r="B537" s="4"/>
      <c r="C537" s="4"/>
      <c r="D537" s="4"/>
      <c r="E537" s="4"/>
      <c r="F537" s="4"/>
      <c r="G537" s="6"/>
      <c r="H537" s="6"/>
      <c r="I537" s="6"/>
      <c r="J537" s="6"/>
      <c r="K537" s="6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>
      <c r="A538" s="2"/>
      <c r="B538" s="4"/>
      <c r="C538" s="4"/>
      <c r="D538" s="4"/>
      <c r="E538" s="4"/>
      <c r="F538" s="4"/>
      <c r="G538" s="6"/>
      <c r="H538" s="6"/>
      <c r="I538" s="6"/>
      <c r="J538" s="6"/>
      <c r="K538" s="6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>
      <c r="A539" s="2"/>
      <c r="B539" s="4"/>
      <c r="C539" s="4"/>
      <c r="D539" s="4"/>
      <c r="E539" s="4"/>
      <c r="F539" s="4"/>
      <c r="G539" s="6"/>
      <c r="H539" s="6"/>
      <c r="I539" s="6"/>
      <c r="J539" s="6"/>
      <c r="K539" s="6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>
      <c r="A540" s="2"/>
      <c r="B540" s="4"/>
      <c r="C540" s="4"/>
      <c r="D540" s="4"/>
      <c r="E540" s="4"/>
      <c r="F540" s="4"/>
      <c r="G540" s="6"/>
      <c r="H540" s="6"/>
      <c r="I540" s="6"/>
      <c r="J540" s="6"/>
      <c r="K540" s="6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>
      <c r="A541" s="2"/>
      <c r="B541" s="4"/>
      <c r="C541" s="4"/>
      <c r="D541" s="4"/>
      <c r="E541" s="4"/>
      <c r="F541" s="4"/>
      <c r="G541" s="6"/>
      <c r="H541" s="6"/>
      <c r="I541" s="6"/>
      <c r="J541" s="6"/>
      <c r="K541" s="6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>
      <c r="A542" s="2"/>
      <c r="B542" s="4"/>
      <c r="C542" s="4"/>
      <c r="D542" s="4"/>
      <c r="E542" s="4"/>
      <c r="F542" s="4"/>
      <c r="G542" s="6"/>
      <c r="H542" s="6"/>
      <c r="I542" s="6"/>
      <c r="J542" s="6"/>
      <c r="K542" s="6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>
      <c r="A543" s="2"/>
      <c r="B543" s="4"/>
      <c r="C543" s="4"/>
      <c r="D543" s="4"/>
      <c r="E543" s="4"/>
      <c r="F543" s="4"/>
      <c r="G543" s="6"/>
      <c r="H543" s="6"/>
      <c r="I543" s="6"/>
      <c r="J543" s="6"/>
      <c r="K543" s="6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>
      <c r="A544" s="2"/>
      <c r="B544" s="4"/>
      <c r="C544" s="4"/>
      <c r="D544" s="4"/>
      <c r="E544" s="4"/>
      <c r="F544" s="4"/>
      <c r="G544" s="6"/>
      <c r="H544" s="6"/>
      <c r="I544" s="6"/>
      <c r="J544" s="6"/>
      <c r="K544" s="6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>
      <c r="A545" s="2"/>
      <c r="B545" s="4"/>
      <c r="C545" s="4"/>
      <c r="D545" s="4"/>
      <c r="E545" s="4"/>
      <c r="F545" s="4"/>
      <c r="G545" s="6"/>
      <c r="H545" s="6"/>
      <c r="I545" s="6"/>
      <c r="J545" s="6"/>
      <c r="K545" s="6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>
      <c r="A546" s="2"/>
      <c r="B546" s="4"/>
      <c r="C546" s="4"/>
      <c r="D546" s="4"/>
      <c r="E546" s="4"/>
      <c r="F546" s="4"/>
      <c r="G546" s="6"/>
      <c r="H546" s="6"/>
      <c r="I546" s="6"/>
      <c r="J546" s="6"/>
      <c r="K546" s="6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>
      <c r="A547" s="2"/>
      <c r="B547" s="4"/>
      <c r="C547" s="4"/>
      <c r="D547" s="4"/>
      <c r="E547" s="4"/>
      <c r="F547" s="4"/>
      <c r="G547" s="6"/>
      <c r="H547" s="6"/>
      <c r="I547" s="6"/>
      <c r="J547" s="6"/>
      <c r="K547" s="6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>
      <c r="A548" s="2"/>
      <c r="B548" s="4"/>
      <c r="C548" s="4"/>
      <c r="D548" s="4"/>
      <c r="E548" s="4"/>
      <c r="F548" s="4"/>
      <c r="G548" s="6"/>
      <c r="H548" s="6"/>
      <c r="I548" s="6"/>
      <c r="J548" s="6"/>
      <c r="K548" s="6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>
      <c r="A549" s="2"/>
      <c r="B549" s="4"/>
      <c r="C549" s="4"/>
      <c r="D549" s="4"/>
      <c r="E549" s="4"/>
      <c r="F549" s="4"/>
      <c r="G549" s="6"/>
      <c r="H549" s="6"/>
      <c r="I549" s="6"/>
      <c r="J549" s="6"/>
      <c r="K549" s="6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>
      <c r="A550" s="2"/>
      <c r="B550" s="4"/>
      <c r="C550" s="4"/>
      <c r="D550" s="4"/>
      <c r="E550" s="4"/>
      <c r="F550" s="4"/>
      <c r="G550" s="6"/>
      <c r="H550" s="6"/>
      <c r="I550" s="6"/>
      <c r="J550" s="6"/>
      <c r="K550" s="6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>
      <c r="A551" s="2"/>
      <c r="B551" s="4"/>
      <c r="C551" s="4"/>
      <c r="D551" s="4"/>
      <c r="E551" s="4"/>
      <c r="F551" s="4"/>
      <c r="G551" s="6"/>
      <c r="H551" s="6"/>
      <c r="I551" s="6"/>
      <c r="J551" s="6"/>
      <c r="K551" s="6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>
      <c r="A552" s="2"/>
      <c r="B552" s="4"/>
      <c r="C552" s="4"/>
      <c r="D552" s="4"/>
      <c r="E552" s="4"/>
      <c r="F552" s="4"/>
      <c r="G552" s="6"/>
      <c r="H552" s="6"/>
      <c r="I552" s="6"/>
      <c r="J552" s="6"/>
      <c r="K552" s="6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>
      <c r="A553" s="2"/>
      <c r="B553" s="4"/>
      <c r="C553" s="4"/>
      <c r="D553" s="4"/>
      <c r="E553" s="4"/>
      <c r="F553" s="4"/>
      <c r="G553" s="6"/>
      <c r="H553" s="6"/>
      <c r="I553" s="6"/>
      <c r="J553" s="6"/>
      <c r="K553" s="6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>
      <c r="A554" s="2"/>
      <c r="B554" s="4"/>
      <c r="C554" s="4"/>
      <c r="D554" s="4"/>
      <c r="E554" s="4"/>
      <c r="F554" s="4"/>
      <c r="G554" s="6"/>
      <c r="H554" s="6"/>
      <c r="I554" s="6"/>
      <c r="J554" s="6"/>
      <c r="K554" s="6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>
      <c r="A555" s="2"/>
      <c r="B555" s="4"/>
      <c r="C555" s="4"/>
      <c r="D555" s="4"/>
      <c r="E555" s="4"/>
      <c r="F555" s="4"/>
      <c r="G555" s="6"/>
      <c r="H555" s="6"/>
      <c r="I555" s="6"/>
      <c r="J555" s="6"/>
      <c r="K555" s="6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>
      <c r="A556" s="2"/>
      <c r="B556" s="4"/>
      <c r="C556" s="4"/>
      <c r="D556" s="4"/>
      <c r="E556" s="4"/>
      <c r="F556" s="4"/>
      <c r="G556" s="6"/>
      <c r="H556" s="6"/>
      <c r="I556" s="6"/>
      <c r="J556" s="6"/>
      <c r="K556" s="6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>
      <c r="A557" s="2"/>
      <c r="B557" s="4"/>
      <c r="C557" s="4"/>
      <c r="D557" s="4"/>
      <c r="E557" s="4"/>
      <c r="F557" s="4"/>
      <c r="G557" s="6"/>
      <c r="H557" s="6"/>
      <c r="I557" s="6"/>
      <c r="J557" s="6"/>
      <c r="K557" s="6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>
      <c r="A558" s="2"/>
      <c r="B558" s="4"/>
      <c r="C558" s="4"/>
      <c r="D558" s="4"/>
      <c r="E558" s="4"/>
      <c r="F558" s="4"/>
      <c r="G558" s="6"/>
      <c r="H558" s="6"/>
      <c r="I558" s="6"/>
      <c r="J558" s="6"/>
      <c r="K558" s="6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>
      <c r="A559" s="2"/>
      <c r="B559" s="4"/>
      <c r="C559" s="4"/>
      <c r="D559" s="4"/>
      <c r="E559" s="4"/>
      <c r="F559" s="4"/>
      <c r="G559" s="6"/>
      <c r="H559" s="6"/>
      <c r="I559" s="6"/>
      <c r="J559" s="6"/>
      <c r="K559" s="6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>
      <c r="A560" s="2"/>
      <c r="B560" s="4"/>
      <c r="C560" s="4"/>
      <c r="D560" s="4"/>
      <c r="E560" s="4"/>
      <c r="F560" s="4"/>
      <c r="G560" s="6"/>
      <c r="H560" s="6"/>
      <c r="I560" s="6"/>
      <c r="J560" s="6"/>
      <c r="K560" s="6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>
      <c r="A561" s="2"/>
      <c r="B561" s="4"/>
      <c r="C561" s="4"/>
      <c r="D561" s="4"/>
      <c r="E561" s="4"/>
      <c r="F561" s="4"/>
      <c r="G561" s="6"/>
      <c r="H561" s="6"/>
      <c r="I561" s="6"/>
      <c r="J561" s="6"/>
      <c r="K561" s="6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>
      <c r="A562" s="2"/>
      <c r="B562" s="4"/>
      <c r="C562" s="4"/>
      <c r="D562" s="4"/>
      <c r="E562" s="4"/>
      <c r="F562" s="4"/>
      <c r="G562" s="6"/>
      <c r="H562" s="6"/>
      <c r="I562" s="6"/>
      <c r="J562" s="6"/>
      <c r="K562" s="6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>
      <c r="A563" s="2"/>
      <c r="B563" s="4"/>
      <c r="C563" s="4"/>
      <c r="D563" s="4"/>
      <c r="E563" s="4"/>
      <c r="F563" s="4"/>
      <c r="G563" s="6"/>
      <c r="H563" s="6"/>
      <c r="I563" s="6"/>
      <c r="J563" s="6"/>
      <c r="K563" s="6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>
      <c r="A564" s="2"/>
      <c r="B564" s="4"/>
      <c r="C564" s="4"/>
      <c r="D564" s="4"/>
      <c r="E564" s="4"/>
      <c r="F564" s="4"/>
      <c r="G564" s="6"/>
      <c r="H564" s="6"/>
      <c r="I564" s="6"/>
      <c r="J564" s="6"/>
      <c r="K564" s="6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>
      <c r="A565" s="2"/>
      <c r="B565" s="4"/>
      <c r="C565" s="4"/>
      <c r="D565" s="4"/>
      <c r="E565" s="4"/>
      <c r="F565" s="4"/>
      <c r="G565" s="6"/>
      <c r="H565" s="6"/>
      <c r="I565" s="6"/>
      <c r="J565" s="6"/>
      <c r="K565" s="6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>
      <c r="A566" s="2"/>
      <c r="B566" s="4"/>
      <c r="C566" s="4"/>
      <c r="D566" s="4"/>
      <c r="E566" s="4"/>
      <c r="F566" s="4"/>
      <c r="G566" s="6"/>
      <c r="H566" s="6"/>
      <c r="I566" s="6"/>
      <c r="J566" s="6"/>
      <c r="K566" s="6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>
      <c r="A567" s="2"/>
      <c r="B567" s="4"/>
      <c r="C567" s="4"/>
      <c r="D567" s="4"/>
      <c r="E567" s="4"/>
      <c r="F567" s="4"/>
      <c r="G567" s="6"/>
      <c r="H567" s="6"/>
      <c r="I567" s="6"/>
      <c r="J567" s="6"/>
      <c r="K567" s="6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>
      <c r="A568" s="2"/>
      <c r="B568" s="4"/>
      <c r="C568" s="4"/>
      <c r="D568" s="4"/>
      <c r="E568" s="4"/>
      <c r="F568" s="4"/>
      <c r="G568" s="6"/>
      <c r="H568" s="6"/>
      <c r="I568" s="6"/>
      <c r="J568" s="6"/>
      <c r="K568" s="6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>
      <c r="A569" s="2"/>
      <c r="B569" s="4"/>
      <c r="C569" s="4"/>
      <c r="D569" s="4"/>
      <c r="E569" s="4"/>
      <c r="F569" s="4"/>
      <c r="G569" s="6"/>
      <c r="H569" s="6"/>
      <c r="I569" s="6"/>
      <c r="J569" s="6"/>
      <c r="K569" s="6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>
      <c r="A570" s="2"/>
      <c r="B570" s="4"/>
      <c r="C570" s="4"/>
      <c r="D570" s="4"/>
      <c r="E570" s="4"/>
      <c r="F570" s="4"/>
      <c r="G570" s="6"/>
      <c r="H570" s="6"/>
      <c r="I570" s="6"/>
      <c r="J570" s="6"/>
      <c r="K570" s="6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>
      <c r="A571" s="2"/>
      <c r="B571" s="4"/>
      <c r="C571" s="4"/>
      <c r="D571" s="4"/>
      <c r="E571" s="4"/>
      <c r="F571" s="4"/>
      <c r="G571" s="6"/>
      <c r="H571" s="6"/>
      <c r="I571" s="6"/>
      <c r="J571" s="6"/>
      <c r="K571" s="6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>
      <c r="A572" s="2"/>
      <c r="B572" s="4"/>
      <c r="C572" s="4"/>
      <c r="D572" s="4"/>
      <c r="E572" s="4"/>
      <c r="F572" s="4"/>
      <c r="G572" s="6"/>
      <c r="H572" s="6"/>
      <c r="I572" s="6"/>
      <c r="J572" s="6"/>
      <c r="K572" s="6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>
      <c r="A573" s="2"/>
      <c r="B573" s="4"/>
      <c r="C573" s="4"/>
      <c r="D573" s="4"/>
      <c r="E573" s="4"/>
      <c r="F573" s="4"/>
      <c r="G573" s="6"/>
      <c r="H573" s="6"/>
      <c r="I573" s="6"/>
      <c r="J573" s="6"/>
      <c r="K573" s="6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>
      <c r="A574" s="2"/>
      <c r="B574" s="4"/>
      <c r="C574" s="4"/>
      <c r="D574" s="4"/>
      <c r="E574" s="4"/>
      <c r="F574" s="4"/>
      <c r="G574" s="6"/>
      <c r="H574" s="6"/>
      <c r="I574" s="6"/>
      <c r="J574" s="6"/>
      <c r="K574" s="6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>
      <c r="A575" s="2"/>
      <c r="B575" s="4"/>
      <c r="C575" s="4"/>
      <c r="D575" s="4"/>
      <c r="E575" s="4"/>
      <c r="F575" s="4"/>
      <c r="G575" s="6"/>
      <c r="H575" s="6"/>
      <c r="I575" s="6"/>
      <c r="J575" s="6"/>
      <c r="K575" s="6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>
      <c r="A576" s="2"/>
      <c r="B576" s="4"/>
      <c r="C576" s="4"/>
      <c r="D576" s="4"/>
      <c r="E576" s="4"/>
      <c r="F576" s="4"/>
      <c r="G576" s="6"/>
      <c r="H576" s="6"/>
      <c r="I576" s="6"/>
      <c r="J576" s="6"/>
      <c r="K576" s="6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>
      <c r="A577" s="2"/>
      <c r="B577" s="4"/>
      <c r="C577" s="4"/>
      <c r="D577" s="4"/>
      <c r="E577" s="4"/>
      <c r="F577" s="4"/>
      <c r="G577" s="6"/>
      <c r="H577" s="6"/>
      <c r="I577" s="6"/>
      <c r="J577" s="6"/>
      <c r="K577" s="6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>
      <c r="A578" s="2"/>
      <c r="B578" s="4"/>
      <c r="C578" s="4"/>
      <c r="D578" s="4"/>
      <c r="E578" s="4"/>
      <c r="F578" s="4"/>
      <c r="G578" s="6"/>
      <c r="H578" s="6"/>
      <c r="I578" s="6"/>
      <c r="J578" s="6"/>
      <c r="K578" s="6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>
      <c r="A579" s="2"/>
      <c r="B579" s="4"/>
      <c r="C579" s="4"/>
      <c r="D579" s="4"/>
      <c r="E579" s="4"/>
      <c r="F579" s="4"/>
      <c r="G579" s="6"/>
      <c r="H579" s="6"/>
      <c r="I579" s="6"/>
      <c r="J579" s="6"/>
      <c r="K579" s="6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>
      <c r="A580" s="2"/>
      <c r="B580" s="4"/>
      <c r="C580" s="4"/>
      <c r="D580" s="4"/>
      <c r="E580" s="4"/>
      <c r="F580" s="4"/>
      <c r="G580" s="6"/>
      <c r="H580" s="6"/>
      <c r="I580" s="6"/>
      <c r="J580" s="6"/>
      <c r="K580" s="6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>
      <c r="A581" s="2"/>
      <c r="B581" s="4"/>
      <c r="C581" s="4"/>
      <c r="D581" s="4"/>
      <c r="E581" s="4"/>
      <c r="F581" s="4"/>
      <c r="G581" s="6"/>
      <c r="H581" s="6"/>
      <c r="I581" s="6"/>
      <c r="J581" s="6"/>
      <c r="K581" s="6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>
      <c r="A582" s="2"/>
      <c r="B582" s="4"/>
      <c r="C582" s="4"/>
      <c r="D582" s="4"/>
      <c r="E582" s="4"/>
      <c r="F582" s="4"/>
      <c r="G582" s="6"/>
      <c r="H582" s="6"/>
      <c r="I582" s="6"/>
      <c r="J582" s="6"/>
      <c r="K582" s="6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>
      <c r="A583" s="2"/>
      <c r="B583" s="4"/>
      <c r="C583" s="4"/>
      <c r="D583" s="4"/>
      <c r="E583" s="4"/>
      <c r="F583" s="4"/>
      <c r="G583" s="6"/>
      <c r="H583" s="6"/>
      <c r="I583" s="6"/>
      <c r="J583" s="6"/>
      <c r="K583" s="6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>
      <c r="A584" s="2"/>
      <c r="B584" s="4"/>
      <c r="C584" s="4"/>
      <c r="D584" s="4"/>
      <c r="E584" s="4"/>
      <c r="F584" s="4"/>
      <c r="G584" s="6"/>
      <c r="H584" s="6"/>
      <c r="I584" s="6"/>
      <c r="J584" s="6"/>
      <c r="K584" s="6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>
      <c r="A585" s="2"/>
      <c r="B585" s="4"/>
      <c r="C585" s="4"/>
      <c r="D585" s="4"/>
      <c r="E585" s="4"/>
      <c r="F585" s="4"/>
      <c r="G585" s="6"/>
      <c r="H585" s="6"/>
      <c r="I585" s="6"/>
      <c r="J585" s="6"/>
      <c r="K585" s="6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>
      <c r="A586" s="2"/>
      <c r="B586" s="4"/>
      <c r="C586" s="4"/>
      <c r="D586" s="4"/>
      <c r="E586" s="4"/>
      <c r="F586" s="4"/>
      <c r="G586" s="6"/>
      <c r="H586" s="6"/>
      <c r="I586" s="6"/>
      <c r="J586" s="6"/>
      <c r="K586" s="6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>
      <c r="A587" s="2"/>
      <c r="B587" s="4"/>
      <c r="C587" s="4"/>
      <c r="D587" s="4"/>
      <c r="E587" s="4"/>
      <c r="F587" s="4"/>
      <c r="G587" s="6"/>
      <c r="H587" s="6"/>
      <c r="I587" s="6"/>
      <c r="J587" s="6"/>
      <c r="K587" s="6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>
      <c r="A588" s="2"/>
      <c r="B588" s="4"/>
      <c r="C588" s="4"/>
      <c r="D588" s="4"/>
      <c r="E588" s="4"/>
      <c r="F588" s="4"/>
      <c r="G588" s="6"/>
      <c r="H588" s="6"/>
      <c r="I588" s="6"/>
      <c r="J588" s="6"/>
      <c r="K588" s="6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>
      <c r="A589" s="2"/>
      <c r="B589" s="4"/>
      <c r="C589" s="4"/>
      <c r="D589" s="4"/>
      <c r="E589" s="4"/>
      <c r="F589" s="4"/>
      <c r="G589" s="6"/>
      <c r="H589" s="6"/>
      <c r="I589" s="6"/>
      <c r="J589" s="6"/>
      <c r="K589" s="6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>
      <c r="A590" s="2"/>
      <c r="B590" s="4"/>
      <c r="C590" s="4"/>
      <c r="D590" s="4"/>
      <c r="E590" s="4"/>
      <c r="F590" s="4"/>
      <c r="G590" s="6"/>
      <c r="H590" s="6"/>
      <c r="I590" s="6"/>
      <c r="J590" s="6"/>
      <c r="K590" s="6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>
      <c r="A591" s="2"/>
      <c r="B591" s="4"/>
      <c r="C591" s="4"/>
      <c r="D591" s="4"/>
      <c r="E591" s="4"/>
      <c r="F591" s="4"/>
      <c r="G591" s="6"/>
      <c r="H591" s="6"/>
      <c r="I591" s="6"/>
      <c r="J591" s="6"/>
      <c r="K591" s="6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>
      <c r="A592" s="2"/>
      <c r="B592" s="4"/>
      <c r="C592" s="4"/>
      <c r="D592" s="4"/>
      <c r="E592" s="4"/>
      <c r="F592" s="4"/>
      <c r="G592" s="6"/>
      <c r="H592" s="6"/>
      <c r="I592" s="6"/>
      <c r="J592" s="6"/>
      <c r="K592" s="6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>
      <c r="A593" s="2"/>
      <c r="B593" s="4"/>
      <c r="C593" s="4"/>
      <c r="D593" s="4"/>
      <c r="E593" s="4"/>
      <c r="F593" s="4"/>
      <c r="G593" s="6"/>
      <c r="H593" s="6"/>
      <c r="I593" s="6"/>
      <c r="J593" s="6"/>
      <c r="K593" s="6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>
      <c r="A594" s="2"/>
      <c r="B594" s="4"/>
      <c r="C594" s="4"/>
      <c r="D594" s="4"/>
      <c r="E594" s="4"/>
      <c r="F594" s="4"/>
      <c r="G594" s="6"/>
      <c r="H594" s="6"/>
      <c r="I594" s="6"/>
      <c r="J594" s="6"/>
      <c r="K594" s="6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>
      <c r="A595" s="2"/>
      <c r="B595" s="4"/>
      <c r="C595" s="4"/>
      <c r="D595" s="4"/>
      <c r="E595" s="4"/>
      <c r="F595" s="4"/>
      <c r="G595" s="6"/>
      <c r="H595" s="6"/>
      <c r="I595" s="6"/>
      <c r="J595" s="6"/>
      <c r="K595" s="6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>
      <c r="A596" s="2"/>
      <c r="B596" s="4"/>
      <c r="C596" s="4"/>
      <c r="D596" s="4"/>
      <c r="E596" s="4"/>
      <c r="F596" s="4"/>
      <c r="G596" s="6"/>
      <c r="H596" s="6"/>
      <c r="I596" s="6"/>
      <c r="J596" s="6"/>
      <c r="K596" s="6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>
      <c r="A597" s="2"/>
      <c r="B597" s="4"/>
      <c r="C597" s="4"/>
      <c r="D597" s="4"/>
      <c r="E597" s="4"/>
      <c r="F597" s="4"/>
      <c r="G597" s="6"/>
      <c r="H597" s="6"/>
      <c r="I597" s="6"/>
      <c r="J597" s="6"/>
      <c r="K597" s="6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>
      <c r="A598" s="2"/>
      <c r="B598" s="4"/>
      <c r="C598" s="4"/>
      <c r="D598" s="4"/>
      <c r="E598" s="4"/>
      <c r="F598" s="4"/>
      <c r="G598" s="6"/>
      <c r="H598" s="6"/>
      <c r="I598" s="6"/>
      <c r="J598" s="6"/>
      <c r="K598" s="6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>
      <c r="A599" s="2"/>
      <c r="B599" s="4"/>
      <c r="C599" s="4"/>
      <c r="D599" s="4"/>
      <c r="E599" s="4"/>
      <c r="F599" s="4"/>
      <c r="G599" s="6"/>
      <c r="H599" s="6"/>
      <c r="I599" s="6"/>
      <c r="J599" s="6"/>
      <c r="K599" s="6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>
      <c r="A600" s="2"/>
      <c r="B600" s="4"/>
      <c r="C600" s="4"/>
      <c r="D600" s="4"/>
      <c r="E600" s="4"/>
      <c r="F600" s="4"/>
      <c r="G600" s="6"/>
      <c r="H600" s="6"/>
      <c r="I600" s="6"/>
      <c r="J600" s="6"/>
      <c r="K600" s="6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>
      <c r="A601" s="2"/>
      <c r="B601" s="4"/>
      <c r="C601" s="4"/>
      <c r="D601" s="4"/>
      <c r="E601" s="4"/>
      <c r="F601" s="4"/>
      <c r="G601" s="6"/>
      <c r="H601" s="6"/>
      <c r="I601" s="6"/>
      <c r="J601" s="6"/>
      <c r="K601" s="6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>
      <c r="A602" s="2"/>
      <c r="B602" s="4"/>
      <c r="C602" s="4"/>
      <c r="D602" s="4"/>
      <c r="E602" s="4"/>
      <c r="F602" s="4"/>
      <c r="G602" s="6"/>
      <c r="H602" s="6"/>
      <c r="I602" s="6"/>
      <c r="J602" s="6"/>
      <c r="K602" s="6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>
      <c r="A603" s="2"/>
      <c r="B603" s="4"/>
      <c r="C603" s="4"/>
      <c r="D603" s="4"/>
      <c r="E603" s="4"/>
      <c r="F603" s="4"/>
      <c r="G603" s="6"/>
      <c r="H603" s="6"/>
      <c r="I603" s="6"/>
      <c r="J603" s="6"/>
      <c r="K603" s="6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>
      <c r="A604" s="2"/>
      <c r="B604" s="4"/>
      <c r="C604" s="4"/>
      <c r="D604" s="4"/>
      <c r="E604" s="4"/>
      <c r="F604" s="4"/>
      <c r="G604" s="6"/>
      <c r="H604" s="6"/>
      <c r="I604" s="6"/>
      <c r="J604" s="6"/>
      <c r="K604" s="6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>
      <c r="A605" s="2"/>
      <c r="B605" s="4"/>
      <c r="C605" s="4"/>
      <c r="D605" s="4"/>
      <c r="E605" s="4"/>
      <c r="F605" s="4"/>
      <c r="G605" s="6"/>
      <c r="H605" s="6"/>
      <c r="I605" s="6"/>
      <c r="J605" s="6"/>
      <c r="K605" s="6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>
      <c r="A606" s="2"/>
      <c r="B606" s="4"/>
      <c r="C606" s="4"/>
      <c r="D606" s="4"/>
      <c r="E606" s="4"/>
      <c r="F606" s="4"/>
      <c r="G606" s="6"/>
      <c r="H606" s="6"/>
      <c r="I606" s="6"/>
      <c r="J606" s="6"/>
      <c r="K606" s="6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>
      <c r="A607" s="2"/>
      <c r="B607" s="4"/>
      <c r="C607" s="4"/>
      <c r="D607" s="4"/>
      <c r="E607" s="4"/>
      <c r="F607" s="4"/>
      <c r="G607" s="6"/>
      <c r="H607" s="6"/>
      <c r="I607" s="6"/>
      <c r="J607" s="6"/>
      <c r="K607" s="6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>
      <c r="A608" s="2"/>
      <c r="B608" s="4"/>
      <c r="C608" s="4"/>
      <c r="D608" s="4"/>
      <c r="E608" s="4"/>
      <c r="F608" s="4"/>
      <c r="G608" s="6"/>
      <c r="H608" s="6"/>
      <c r="I608" s="6"/>
      <c r="J608" s="6"/>
      <c r="K608" s="6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>
      <c r="A609" s="2"/>
      <c r="B609" s="4"/>
      <c r="C609" s="4"/>
      <c r="D609" s="4"/>
      <c r="E609" s="4"/>
      <c r="F609" s="4"/>
      <c r="G609" s="6"/>
      <c r="H609" s="6"/>
      <c r="I609" s="6"/>
      <c r="J609" s="6"/>
      <c r="K609" s="6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>
      <c r="A610" s="2"/>
      <c r="B610" s="4"/>
      <c r="C610" s="4"/>
      <c r="D610" s="4"/>
      <c r="E610" s="4"/>
      <c r="F610" s="4"/>
      <c r="G610" s="6"/>
      <c r="H610" s="6"/>
      <c r="I610" s="6"/>
      <c r="J610" s="6"/>
      <c r="K610" s="6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>
      <c r="A611" s="2"/>
      <c r="B611" s="4"/>
      <c r="C611" s="4"/>
      <c r="D611" s="4"/>
      <c r="E611" s="4"/>
      <c r="F611" s="4"/>
      <c r="G611" s="6"/>
      <c r="H611" s="6"/>
      <c r="I611" s="6"/>
      <c r="J611" s="6"/>
      <c r="K611" s="6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>
      <c r="A612" s="2"/>
      <c r="B612" s="4"/>
      <c r="C612" s="4"/>
      <c r="D612" s="4"/>
      <c r="E612" s="4"/>
      <c r="F612" s="4"/>
      <c r="G612" s="6"/>
      <c r="H612" s="6"/>
      <c r="I612" s="6"/>
      <c r="J612" s="6"/>
      <c r="K612" s="6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>
      <c r="A613" s="2"/>
      <c r="B613" s="4"/>
      <c r="C613" s="4"/>
      <c r="D613" s="4"/>
      <c r="E613" s="4"/>
      <c r="F613" s="4"/>
      <c r="G613" s="6"/>
      <c r="H613" s="6"/>
      <c r="I613" s="6"/>
      <c r="J613" s="6"/>
      <c r="K613" s="6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>
      <c r="A614" s="2"/>
      <c r="B614" s="4"/>
      <c r="C614" s="4"/>
      <c r="D614" s="4"/>
      <c r="E614" s="4"/>
      <c r="F614" s="4"/>
      <c r="G614" s="6"/>
      <c r="H614" s="6"/>
      <c r="I614" s="6"/>
      <c r="J614" s="6"/>
      <c r="K614" s="6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>
      <c r="A615" s="2"/>
      <c r="B615" s="4"/>
      <c r="C615" s="4"/>
      <c r="D615" s="4"/>
      <c r="E615" s="4"/>
      <c r="F615" s="4"/>
      <c r="G615" s="6"/>
      <c r="H615" s="6"/>
      <c r="I615" s="6"/>
      <c r="J615" s="6"/>
      <c r="K615" s="6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>
      <c r="A616" s="2"/>
      <c r="B616" s="4"/>
      <c r="C616" s="4"/>
      <c r="D616" s="4"/>
      <c r="E616" s="4"/>
      <c r="F616" s="4"/>
      <c r="G616" s="6"/>
      <c r="H616" s="6"/>
      <c r="I616" s="6"/>
      <c r="J616" s="6"/>
      <c r="K616" s="6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>
      <c r="A617" s="2"/>
      <c r="B617" s="4"/>
      <c r="C617" s="4"/>
      <c r="D617" s="4"/>
      <c r="E617" s="4"/>
      <c r="F617" s="4"/>
      <c r="G617" s="6"/>
      <c r="H617" s="6"/>
      <c r="I617" s="6"/>
      <c r="J617" s="6"/>
      <c r="K617" s="6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>
      <c r="A618" s="2"/>
      <c r="B618" s="4"/>
      <c r="C618" s="4"/>
      <c r="D618" s="4"/>
      <c r="E618" s="4"/>
      <c r="F618" s="4"/>
      <c r="G618" s="6"/>
      <c r="H618" s="6"/>
      <c r="I618" s="6"/>
      <c r="J618" s="6"/>
      <c r="K618" s="6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>
      <c r="A619" s="2"/>
      <c r="B619" s="4"/>
      <c r="C619" s="4"/>
      <c r="D619" s="4"/>
      <c r="E619" s="4"/>
      <c r="F619" s="4"/>
      <c r="G619" s="6"/>
      <c r="H619" s="6"/>
      <c r="I619" s="6"/>
      <c r="J619" s="6"/>
      <c r="K619" s="6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>
      <c r="A620" s="2"/>
      <c r="B620" s="4"/>
      <c r="C620" s="4"/>
      <c r="D620" s="4"/>
      <c r="E620" s="4"/>
      <c r="F620" s="4"/>
      <c r="G620" s="6"/>
      <c r="H620" s="6"/>
      <c r="I620" s="6"/>
      <c r="J620" s="6"/>
      <c r="K620" s="6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>
      <c r="A621" s="2"/>
      <c r="B621" s="4"/>
      <c r="C621" s="4"/>
      <c r="D621" s="4"/>
      <c r="E621" s="4"/>
      <c r="F621" s="4"/>
      <c r="G621" s="6"/>
      <c r="H621" s="6"/>
      <c r="I621" s="6"/>
      <c r="J621" s="6"/>
      <c r="K621" s="6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>
      <c r="A622" s="2"/>
      <c r="B622" s="4"/>
      <c r="C622" s="4"/>
      <c r="D622" s="4"/>
      <c r="E622" s="4"/>
      <c r="F622" s="4"/>
      <c r="G622" s="6"/>
      <c r="H622" s="6"/>
      <c r="I622" s="6"/>
      <c r="J622" s="6"/>
      <c r="K622" s="6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>
      <c r="A623" s="2"/>
      <c r="B623" s="4"/>
      <c r="C623" s="4"/>
      <c r="D623" s="4"/>
      <c r="E623" s="4"/>
      <c r="F623" s="4"/>
      <c r="G623" s="6"/>
      <c r="H623" s="6"/>
      <c r="I623" s="6"/>
      <c r="J623" s="6"/>
      <c r="K623" s="6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>
      <c r="A624" s="2"/>
      <c r="B624" s="4"/>
      <c r="C624" s="4"/>
      <c r="D624" s="4"/>
      <c r="E624" s="4"/>
      <c r="F624" s="4"/>
      <c r="G624" s="6"/>
      <c r="H624" s="6"/>
      <c r="I624" s="6"/>
      <c r="J624" s="6"/>
      <c r="K624" s="6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>
      <c r="A625" s="2"/>
      <c r="B625" s="4"/>
      <c r="C625" s="4"/>
      <c r="D625" s="4"/>
      <c r="E625" s="4"/>
      <c r="F625" s="4"/>
      <c r="G625" s="6"/>
      <c r="H625" s="6"/>
      <c r="I625" s="6"/>
      <c r="J625" s="6"/>
      <c r="K625" s="6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>
      <c r="A626" s="2"/>
      <c r="B626" s="4"/>
      <c r="C626" s="4"/>
      <c r="D626" s="4"/>
      <c r="E626" s="4"/>
      <c r="F626" s="4"/>
      <c r="G626" s="6"/>
      <c r="H626" s="6"/>
      <c r="I626" s="6"/>
      <c r="J626" s="6"/>
      <c r="K626" s="6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>
      <c r="A627" s="2"/>
      <c r="B627" s="4"/>
      <c r="C627" s="4"/>
      <c r="D627" s="4"/>
      <c r="E627" s="4"/>
      <c r="F627" s="4"/>
      <c r="G627" s="6"/>
      <c r="H627" s="6"/>
      <c r="I627" s="6"/>
      <c r="J627" s="6"/>
      <c r="K627" s="6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>
      <c r="A628" s="2"/>
      <c r="B628" s="4"/>
      <c r="C628" s="4"/>
      <c r="D628" s="4"/>
      <c r="E628" s="4"/>
      <c r="F628" s="4"/>
      <c r="G628" s="6"/>
      <c r="H628" s="6"/>
      <c r="I628" s="6"/>
      <c r="J628" s="6"/>
      <c r="K628" s="6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>
      <c r="A629" s="2"/>
      <c r="B629" s="4"/>
      <c r="C629" s="4"/>
      <c r="D629" s="4"/>
      <c r="E629" s="4"/>
      <c r="F629" s="4"/>
      <c r="G629" s="6"/>
      <c r="H629" s="6"/>
      <c r="I629" s="6"/>
      <c r="J629" s="6"/>
      <c r="K629" s="6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>
      <c r="A630" s="2"/>
      <c r="B630" s="4"/>
      <c r="C630" s="4"/>
      <c r="D630" s="4"/>
      <c r="E630" s="4"/>
      <c r="F630" s="4"/>
      <c r="G630" s="6"/>
      <c r="H630" s="6"/>
      <c r="I630" s="6"/>
      <c r="J630" s="6"/>
      <c r="K630" s="6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>
      <c r="A631" s="2"/>
      <c r="B631" s="4"/>
      <c r="C631" s="4"/>
      <c r="D631" s="4"/>
      <c r="E631" s="4"/>
      <c r="F631" s="4"/>
      <c r="G631" s="6"/>
      <c r="H631" s="6"/>
      <c r="I631" s="6"/>
      <c r="J631" s="6"/>
      <c r="K631" s="6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>
      <c r="A632" s="2"/>
      <c r="B632" s="4"/>
      <c r="C632" s="4"/>
      <c r="D632" s="4"/>
      <c r="E632" s="4"/>
      <c r="F632" s="4"/>
      <c r="G632" s="6"/>
      <c r="H632" s="6"/>
      <c r="I632" s="6"/>
      <c r="J632" s="6"/>
      <c r="K632" s="6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>
      <c r="A633" s="2"/>
      <c r="B633" s="4"/>
      <c r="C633" s="4"/>
      <c r="D633" s="4"/>
      <c r="E633" s="4"/>
      <c r="F633" s="4"/>
      <c r="G633" s="6"/>
      <c r="H633" s="6"/>
      <c r="I633" s="6"/>
      <c r="J633" s="6"/>
      <c r="K633" s="6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>
      <c r="A634" s="2"/>
      <c r="B634" s="4"/>
      <c r="C634" s="4"/>
      <c r="D634" s="4"/>
      <c r="E634" s="4"/>
      <c r="F634" s="4"/>
      <c r="G634" s="6"/>
      <c r="H634" s="6"/>
      <c r="I634" s="6"/>
      <c r="J634" s="6"/>
      <c r="K634" s="6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>
      <c r="A635" s="2"/>
      <c r="B635" s="4"/>
      <c r="C635" s="4"/>
      <c r="D635" s="4"/>
      <c r="E635" s="4"/>
      <c r="F635" s="4"/>
      <c r="G635" s="6"/>
      <c r="H635" s="6"/>
      <c r="I635" s="6"/>
      <c r="J635" s="6"/>
      <c r="K635" s="6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>
      <c r="A636" s="2"/>
      <c r="B636" s="4"/>
      <c r="C636" s="4"/>
      <c r="D636" s="4"/>
      <c r="E636" s="4"/>
      <c r="F636" s="4"/>
      <c r="G636" s="6"/>
      <c r="H636" s="6"/>
      <c r="I636" s="6"/>
      <c r="J636" s="6"/>
      <c r="K636" s="6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>
      <c r="A637" s="2"/>
      <c r="B637" s="4"/>
      <c r="C637" s="4"/>
      <c r="D637" s="4"/>
      <c r="E637" s="4"/>
      <c r="F637" s="4"/>
      <c r="G637" s="6"/>
      <c r="H637" s="6"/>
      <c r="I637" s="6"/>
      <c r="J637" s="6"/>
      <c r="K637" s="6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>
      <c r="A638" s="2"/>
      <c r="B638" s="4"/>
      <c r="C638" s="4"/>
      <c r="D638" s="4"/>
      <c r="E638" s="4"/>
      <c r="F638" s="4"/>
      <c r="G638" s="6"/>
      <c r="H638" s="6"/>
      <c r="I638" s="6"/>
      <c r="J638" s="6"/>
      <c r="K638" s="6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>
      <c r="A639" s="2"/>
      <c r="B639" s="4"/>
      <c r="C639" s="4"/>
      <c r="D639" s="4"/>
      <c r="E639" s="4"/>
      <c r="F639" s="4"/>
      <c r="G639" s="6"/>
      <c r="H639" s="6"/>
      <c r="I639" s="6"/>
      <c r="J639" s="6"/>
      <c r="K639" s="6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>
      <c r="A640" s="2"/>
      <c r="B640" s="4"/>
      <c r="C640" s="4"/>
      <c r="D640" s="4"/>
      <c r="E640" s="4"/>
      <c r="F640" s="4"/>
      <c r="G640" s="6"/>
      <c r="H640" s="6"/>
      <c r="I640" s="6"/>
      <c r="J640" s="6"/>
      <c r="K640" s="6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>
      <c r="A641" s="2"/>
      <c r="B641" s="4"/>
      <c r="C641" s="4"/>
      <c r="D641" s="4"/>
      <c r="E641" s="4"/>
      <c r="F641" s="4"/>
      <c r="G641" s="6"/>
      <c r="H641" s="6"/>
      <c r="I641" s="6"/>
      <c r="J641" s="6"/>
      <c r="K641" s="6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>
      <c r="A642" s="2"/>
      <c r="B642" s="4"/>
      <c r="C642" s="4"/>
      <c r="D642" s="4"/>
      <c r="E642" s="4"/>
      <c r="F642" s="4"/>
      <c r="G642" s="6"/>
      <c r="H642" s="6"/>
      <c r="I642" s="6"/>
      <c r="J642" s="6"/>
      <c r="K642" s="6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>
      <c r="A643" s="2"/>
      <c r="B643" s="4"/>
      <c r="C643" s="4"/>
      <c r="D643" s="4"/>
      <c r="E643" s="4"/>
      <c r="F643" s="4"/>
      <c r="G643" s="6"/>
      <c r="H643" s="6"/>
      <c r="I643" s="6"/>
      <c r="J643" s="6"/>
      <c r="K643" s="6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>
      <c r="A644" s="2"/>
      <c r="B644" s="4"/>
      <c r="C644" s="4"/>
      <c r="D644" s="4"/>
      <c r="E644" s="4"/>
      <c r="F644" s="4"/>
      <c r="G644" s="6"/>
      <c r="H644" s="6"/>
      <c r="I644" s="6"/>
      <c r="J644" s="6"/>
      <c r="K644" s="6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>
      <c r="A645" s="2"/>
      <c r="B645" s="4"/>
      <c r="C645" s="4"/>
      <c r="D645" s="4"/>
      <c r="E645" s="4"/>
      <c r="F645" s="4"/>
      <c r="G645" s="6"/>
      <c r="H645" s="6"/>
      <c r="I645" s="6"/>
      <c r="J645" s="6"/>
      <c r="K645" s="6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>
      <c r="A646" s="2"/>
      <c r="B646" s="4"/>
      <c r="C646" s="4"/>
      <c r="D646" s="4"/>
      <c r="E646" s="4"/>
      <c r="F646" s="4"/>
      <c r="G646" s="6"/>
      <c r="H646" s="6"/>
      <c r="I646" s="6"/>
      <c r="J646" s="6"/>
      <c r="K646" s="6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>
      <c r="A647" s="2"/>
      <c r="B647" s="4"/>
      <c r="C647" s="4"/>
      <c r="D647" s="4"/>
      <c r="E647" s="4"/>
      <c r="F647" s="4"/>
      <c r="G647" s="6"/>
      <c r="H647" s="6"/>
      <c r="I647" s="6"/>
      <c r="J647" s="6"/>
      <c r="K647" s="6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>
      <c r="A648" s="2"/>
      <c r="B648" s="4"/>
      <c r="C648" s="4"/>
      <c r="D648" s="4"/>
      <c r="E648" s="4"/>
      <c r="F648" s="4"/>
      <c r="G648" s="6"/>
      <c r="H648" s="6"/>
      <c r="I648" s="6"/>
      <c r="J648" s="6"/>
      <c r="K648" s="6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>
      <c r="A649" s="2"/>
      <c r="B649" s="4"/>
      <c r="C649" s="4"/>
      <c r="D649" s="4"/>
      <c r="E649" s="4"/>
      <c r="F649" s="4"/>
      <c r="G649" s="6"/>
      <c r="H649" s="6"/>
      <c r="I649" s="6"/>
      <c r="J649" s="6"/>
      <c r="K649" s="6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>
      <c r="A650" s="2"/>
      <c r="B650" s="4"/>
      <c r="C650" s="4"/>
      <c r="D650" s="4"/>
      <c r="E650" s="4"/>
      <c r="F650" s="4"/>
      <c r="G650" s="6"/>
      <c r="H650" s="6"/>
      <c r="I650" s="6"/>
      <c r="J650" s="6"/>
      <c r="K650" s="6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>
      <c r="A651" s="2"/>
      <c r="B651" s="4"/>
      <c r="C651" s="4"/>
      <c r="D651" s="4"/>
      <c r="E651" s="4"/>
      <c r="F651" s="4"/>
      <c r="G651" s="6"/>
      <c r="H651" s="6"/>
      <c r="I651" s="6"/>
      <c r="J651" s="6"/>
      <c r="K651" s="6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>
      <c r="A652" s="2"/>
      <c r="B652" s="4"/>
      <c r="C652" s="4"/>
      <c r="D652" s="4"/>
      <c r="E652" s="4"/>
      <c r="F652" s="4"/>
      <c r="G652" s="6"/>
      <c r="H652" s="6"/>
      <c r="I652" s="6"/>
      <c r="J652" s="6"/>
      <c r="K652" s="6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>
      <c r="A653" s="2"/>
      <c r="B653" s="4"/>
      <c r="C653" s="4"/>
      <c r="D653" s="4"/>
      <c r="E653" s="4"/>
      <c r="F653" s="4"/>
      <c r="G653" s="6"/>
      <c r="H653" s="6"/>
      <c r="I653" s="6"/>
      <c r="J653" s="6"/>
      <c r="K653" s="6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>
      <c r="A654" s="2"/>
      <c r="B654" s="4"/>
      <c r="C654" s="4"/>
      <c r="D654" s="4"/>
      <c r="E654" s="4"/>
      <c r="F654" s="4"/>
      <c r="G654" s="6"/>
      <c r="H654" s="6"/>
      <c r="I654" s="6"/>
      <c r="J654" s="6"/>
      <c r="K654" s="6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>
      <c r="A655" s="2"/>
      <c r="B655" s="4"/>
      <c r="C655" s="4"/>
      <c r="D655" s="4"/>
      <c r="E655" s="4"/>
      <c r="F655" s="4"/>
      <c r="G655" s="6"/>
      <c r="H655" s="6"/>
      <c r="I655" s="6"/>
      <c r="J655" s="6"/>
      <c r="K655" s="6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>
      <c r="A656" s="2"/>
      <c r="B656" s="4"/>
      <c r="C656" s="4"/>
      <c r="D656" s="4"/>
      <c r="E656" s="4"/>
      <c r="F656" s="4"/>
      <c r="G656" s="6"/>
      <c r="H656" s="6"/>
      <c r="I656" s="6"/>
      <c r="J656" s="6"/>
      <c r="K656" s="6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>
      <c r="A657" s="2"/>
      <c r="B657" s="4"/>
      <c r="C657" s="4"/>
      <c r="D657" s="4"/>
      <c r="E657" s="4"/>
      <c r="F657" s="4"/>
      <c r="G657" s="6"/>
      <c r="H657" s="6"/>
      <c r="I657" s="6"/>
      <c r="J657" s="6"/>
      <c r="K657" s="6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>
      <c r="A658" s="2"/>
      <c r="B658" s="4"/>
      <c r="C658" s="4"/>
      <c r="D658" s="4"/>
      <c r="E658" s="4"/>
      <c r="F658" s="4"/>
      <c r="G658" s="6"/>
      <c r="H658" s="6"/>
      <c r="I658" s="6"/>
      <c r="J658" s="6"/>
      <c r="K658" s="6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>
      <c r="A659" s="2"/>
      <c r="B659" s="4"/>
      <c r="C659" s="4"/>
      <c r="D659" s="4"/>
      <c r="E659" s="4"/>
      <c r="F659" s="4"/>
      <c r="G659" s="6"/>
      <c r="H659" s="6"/>
      <c r="I659" s="6"/>
      <c r="J659" s="6"/>
      <c r="K659" s="6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>
      <c r="A660" s="2"/>
      <c r="B660" s="4"/>
      <c r="C660" s="4"/>
      <c r="D660" s="4"/>
      <c r="E660" s="4"/>
      <c r="F660" s="4"/>
      <c r="G660" s="6"/>
      <c r="H660" s="6"/>
      <c r="I660" s="6"/>
      <c r="J660" s="6"/>
      <c r="K660" s="6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>
      <c r="A661" s="2"/>
      <c r="B661" s="4"/>
      <c r="C661" s="4"/>
      <c r="D661" s="4"/>
      <c r="E661" s="4"/>
      <c r="F661" s="4"/>
      <c r="G661" s="6"/>
      <c r="H661" s="6"/>
      <c r="I661" s="6"/>
      <c r="J661" s="6"/>
      <c r="K661" s="6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>
      <c r="A662" s="2"/>
      <c r="B662" s="4"/>
      <c r="C662" s="4"/>
      <c r="D662" s="4"/>
      <c r="E662" s="4"/>
      <c r="F662" s="4"/>
      <c r="G662" s="6"/>
      <c r="H662" s="6"/>
      <c r="I662" s="6"/>
      <c r="J662" s="6"/>
      <c r="K662" s="6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>
      <c r="A663" s="2"/>
      <c r="B663" s="4"/>
      <c r="C663" s="4"/>
      <c r="D663" s="4"/>
      <c r="E663" s="4"/>
      <c r="F663" s="4"/>
      <c r="G663" s="6"/>
      <c r="H663" s="6"/>
      <c r="I663" s="6"/>
      <c r="J663" s="6"/>
      <c r="K663" s="6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>
      <c r="A664" s="2"/>
      <c r="B664" s="4"/>
      <c r="C664" s="4"/>
      <c r="D664" s="4"/>
      <c r="E664" s="4"/>
      <c r="F664" s="4"/>
      <c r="G664" s="6"/>
      <c r="H664" s="6"/>
      <c r="I664" s="6"/>
      <c r="J664" s="6"/>
      <c r="K664" s="6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>
      <c r="A665" s="2"/>
      <c r="B665" s="4"/>
      <c r="C665" s="4"/>
      <c r="D665" s="4"/>
      <c r="E665" s="4"/>
      <c r="F665" s="4"/>
      <c r="G665" s="6"/>
      <c r="H665" s="6"/>
      <c r="I665" s="6"/>
      <c r="J665" s="6"/>
      <c r="K665" s="6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>
      <c r="A666" s="2"/>
      <c r="B666" s="4"/>
      <c r="C666" s="4"/>
      <c r="D666" s="4"/>
      <c r="E666" s="4"/>
      <c r="F666" s="4"/>
      <c r="G666" s="6"/>
      <c r="H666" s="6"/>
      <c r="I666" s="6"/>
      <c r="J666" s="6"/>
      <c r="K666" s="6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>
      <c r="A667" s="2"/>
      <c r="B667" s="4"/>
      <c r="C667" s="4"/>
      <c r="D667" s="4"/>
      <c r="E667" s="4"/>
      <c r="F667" s="4"/>
      <c r="G667" s="6"/>
      <c r="H667" s="6"/>
      <c r="I667" s="6"/>
      <c r="J667" s="6"/>
      <c r="K667" s="6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>
      <c r="A668" s="2"/>
      <c r="B668" s="4"/>
      <c r="C668" s="4"/>
      <c r="D668" s="4"/>
      <c r="E668" s="4"/>
      <c r="F668" s="4"/>
      <c r="G668" s="6"/>
      <c r="H668" s="6"/>
      <c r="I668" s="6"/>
      <c r="J668" s="6"/>
      <c r="K668" s="6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>
      <c r="A669" s="2"/>
      <c r="B669" s="4"/>
      <c r="C669" s="4"/>
      <c r="D669" s="4"/>
      <c r="E669" s="4"/>
      <c r="F669" s="4"/>
      <c r="G669" s="6"/>
      <c r="H669" s="6"/>
      <c r="I669" s="6"/>
      <c r="J669" s="6"/>
      <c r="K669" s="6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>
      <c r="A670" s="2"/>
      <c r="B670" s="4"/>
      <c r="C670" s="4"/>
      <c r="D670" s="4"/>
      <c r="E670" s="4"/>
      <c r="F670" s="4"/>
      <c r="G670" s="6"/>
      <c r="H670" s="6"/>
      <c r="I670" s="6"/>
      <c r="J670" s="6"/>
      <c r="K670" s="6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>
      <c r="A671" s="2"/>
      <c r="B671" s="4"/>
      <c r="C671" s="4"/>
      <c r="D671" s="4"/>
      <c r="E671" s="4"/>
      <c r="F671" s="4"/>
      <c r="G671" s="6"/>
      <c r="H671" s="6"/>
      <c r="I671" s="6"/>
      <c r="J671" s="6"/>
      <c r="K671" s="6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>
      <c r="A672" s="2"/>
      <c r="B672" s="4"/>
      <c r="C672" s="4"/>
      <c r="D672" s="4"/>
      <c r="E672" s="4"/>
      <c r="F672" s="4"/>
      <c r="G672" s="6"/>
      <c r="H672" s="6"/>
      <c r="I672" s="6"/>
      <c r="J672" s="6"/>
      <c r="K672" s="6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>
      <c r="A673" s="2"/>
      <c r="B673" s="4"/>
      <c r="C673" s="4"/>
      <c r="D673" s="4"/>
      <c r="E673" s="4"/>
      <c r="F673" s="4"/>
      <c r="G673" s="6"/>
      <c r="H673" s="6"/>
      <c r="I673" s="6"/>
      <c r="J673" s="6"/>
      <c r="K673" s="6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>
      <c r="A674" s="2"/>
      <c r="B674" s="4"/>
      <c r="C674" s="4"/>
      <c r="D674" s="4"/>
      <c r="E674" s="4"/>
      <c r="F674" s="4"/>
      <c r="G674" s="6"/>
      <c r="H674" s="6"/>
      <c r="I674" s="6"/>
      <c r="J674" s="6"/>
      <c r="K674" s="6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>
      <c r="A675" s="2"/>
      <c r="B675" s="4"/>
      <c r="C675" s="4"/>
      <c r="D675" s="4"/>
      <c r="E675" s="4"/>
      <c r="F675" s="4"/>
      <c r="G675" s="6"/>
      <c r="H675" s="6"/>
      <c r="I675" s="6"/>
      <c r="J675" s="6"/>
      <c r="K675" s="6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>
      <c r="A676" s="2"/>
      <c r="B676" s="4"/>
      <c r="C676" s="4"/>
      <c r="D676" s="4"/>
      <c r="E676" s="4"/>
      <c r="F676" s="4"/>
      <c r="G676" s="6"/>
      <c r="H676" s="6"/>
      <c r="I676" s="6"/>
      <c r="J676" s="6"/>
      <c r="K676" s="6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>
      <c r="A677" s="2"/>
      <c r="B677" s="4"/>
      <c r="C677" s="4"/>
      <c r="D677" s="4"/>
      <c r="E677" s="4"/>
      <c r="F677" s="4"/>
      <c r="G677" s="6"/>
      <c r="H677" s="6"/>
      <c r="I677" s="6"/>
      <c r="J677" s="6"/>
      <c r="K677" s="6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>
      <c r="A678" s="2"/>
      <c r="B678" s="4"/>
      <c r="C678" s="4"/>
      <c r="D678" s="4"/>
      <c r="E678" s="4"/>
      <c r="F678" s="4"/>
      <c r="G678" s="6"/>
      <c r="H678" s="6"/>
      <c r="I678" s="6"/>
      <c r="J678" s="6"/>
      <c r="K678" s="6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>
      <c r="A679" s="2"/>
      <c r="B679" s="4"/>
      <c r="C679" s="4"/>
      <c r="D679" s="4"/>
      <c r="E679" s="4"/>
      <c r="F679" s="4"/>
      <c r="G679" s="6"/>
      <c r="H679" s="6"/>
      <c r="I679" s="6"/>
      <c r="J679" s="6"/>
      <c r="K679" s="6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>
      <c r="A680" s="2"/>
      <c r="B680" s="4"/>
      <c r="C680" s="4"/>
      <c r="D680" s="4"/>
      <c r="E680" s="4"/>
      <c r="F680" s="4"/>
      <c r="G680" s="6"/>
      <c r="H680" s="6"/>
      <c r="I680" s="6"/>
      <c r="J680" s="6"/>
      <c r="K680" s="6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>
      <c r="A681" s="2"/>
      <c r="B681" s="4"/>
      <c r="C681" s="4"/>
      <c r="D681" s="4"/>
      <c r="E681" s="4"/>
      <c r="F681" s="4"/>
      <c r="G681" s="6"/>
      <c r="H681" s="6"/>
      <c r="I681" s="6"/>
      <c r="J681" s="6"/>
      <c r="K681" s="6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>
      <c r="A682" s="2"/>
      <c r="B682" s="4"/>
      <c r="C682" s="4"/>
      <c r="D682" s="4"/>
      <c r="E682" s="4"/>
      <c r="F682" s="4"/>
      <c r="G682" s="6"/>
      <c r="H682" s="6"/>
      <c r="I682" s="6"/>
      <c r="J682" s="6"/>
      <c r="K682" s="6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>
      <c r="A683" s="2"/>
      <c r="B683" s="4"/>
      <c r="C683" s="4"/>
      <c r="D683" s="4"/>
      <c r="E683" s="4"/>
      <c r="F683" s="4"/>
      <c r="G683" s="6"/>
      <c r="H683" s="6"/>
      <c r="I683" s="6"/>
      <c r="J683" s="6"/>
      <c r="K683" s="6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>
      <c r="A684" s="2"/>
      <c r="B684" s="4"/>
      <c r="C684" s="4"/>
      <c r="D684" s="4"/>
      <c r="E684" s="4"/>
      <c r="F684" s="4"/>
      <c r="G684" s="6"/>
      <c r="H684" s="6"/>
      <c r="I684" s="6"/>
      <c r="J684" s="6"/>
      <c r="K684" s="6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>
      <c r="A685" s="2"/>
      <c r="B685" s="4"/>
      <c r="C685" s="4"/>
      <c r="D685" s="4"/>
      <c r="E685" s="4"/>
      <c r="F685" s="4"/>
      <c r="G685" s="6"/>
      <c r="H685" s="6"/>
      <c r="I685" s="6"/>
      <c r="J685" s="6"/>
      <c r="K685" s="6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>
      <c r="A686" s="2"/>
      <c r="B686" s="4"/>
      <c r="C686" s="4"/>
      <c r="D686" s="4"/>
      <c r="E686" s="4"/>
      <c r="F686" s="4"/>
      <c r="G686" s="6"/>
      <c r="H686" s="6"/>
      <c r="I686" s="6"/>
      <c r="J686" s="6"/>
      <c r="K686" s="6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>
      <c r="A687" s="2"/>
      <c r="B687" s="4"/>
      <c r="C687" s="4"/>
      <c r="D687" s="4"/>
      <c r="E687" s="4"/>
      <c r="F687" s="4"/>
      <c r="G687" s="6"/>
      <c r="H687" s="6"/>
      <c r="I687" s="6"/>
      <c r="J687" s="6"/>
      <c r="K687" s="6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>
      <c r="A688" s="2"/>
      <c r="B688" s="4"/>
      <c r="C688" s="4"/>
      <c r="D688" s="4"/>
      <c r="E688" s="4"/>
      <c r="F688" s="4"/>
      <c r="G688" s="6"/>
      <c r="H688" s="6"/>
      <c r="I688" s="6"/>
      <c r="J688" s="6"/>
      <c r="K688" s="6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>
      <c r="A689" s="2"/>
      <c r="B689" s="4"/>
      <c r="C689" s="4"/>
      <c r="D689" s="4"/>
      <c r="E689" s="4"/>
      <c r="F689" s="4"/>
      <c r="G689" s="6"/>
      <c r="H689" s="6"/>
      <c r="I689" s="6"/>
      <c r="J689" s="6"/>
      <c r="K689" s="6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>
      <c r="A690" s="2"/>
      <c r="B690" s="4"/>
      <c r="C690" s="4"/>
      <c r="D690" s="4"/>
      <c r="E690" s="4"/>
      <c r="F690" s="4"/>
      <c r="G690" s="6"/>
      <c r="H690" s="6"/>
      <c r="I690" s="6"/>
      <c r="J690" s="6"/>
      <c r="K690" s="6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>
      <c r="A691" s="2"/>
      <c r="B691" s="4"/>
      <c r="C691" s="4"/>
      <c r="D691" s="4"/>
      <c r="E691" s="4"/>
      <c r="F691" s="4"/>
      <c r="G691" s="6"/>
      <c r="H691" s="6"/>
      <c r="I691" s="6"/>
      <c r="J691" s="6"/>
      <c r="K691" s="6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>
      <c r="A692" s="2"/>
      <c r="B692" s="4"/>
      <c r="C692" s="4"/>
      <c r="D692" s="4"/>
      <c r="E692" s="4"/>
      <c r="F692" s="4"/>
      <c r="G692" s="6"/>
      <c r="H692" s="6"/>
      <c r="I692" s="6"/>
      <c r="J692" s="6"/>
      <c r="K692" s="6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>
      <c r="A693" s="2"/>
      <c r="B693" s="4"/>
      <c r="C693" s="4"/>
      <c r="D693" s="4"/>
      <c r="E693" s="4"/>
      <c r="F693" s="4"/>
      <c r="G693" s="6"/>
      <c r="H693" s="6"/>
      <c r="I693" s="6"/>
      <c r="J693" s="6"/>
      <c r="K693" s="6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>
      <c r="A694" s="2"/>
      <c r="B694" s="4"/>
      <c r="C694" s="4"/>
      <c r="D694" s="4"/>
      <c r="E694" s="4"/>
      <c r="F694" s="4"/>
      <c r="G694" s="6"/>
      <c r="H694" s="6"/>
      <c r="I694" s="6"/>
      <c r="J694" s="6"/>
      <c r="K694" s="6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>
      <c r="A695" s="2"/>
      <c r="B695" s="4"/>
      <c r="C695" s="4"/>
      <c r="D695" s="4"/>
      <c r="E695" s="4"/>
      <c r="F695" s="4"/>
      <c r="G695" s="6"/>
      <c r="H695" s="6"/>
      <c r="I695" s="6"/>
      <c r="J695" s="6"/>
      <c r="K695" s="6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>
      <c r="A696" s="2"/>
      <c r="B696" s="4"/>
      <c r="C696" s="4"/>
      <c r="D696" s="4"/>
      <c r="E696" s="4"/>
      <c r="F696" s="4"/>
      <c r="G696" s="6"/>
      <c r="H696" s="6"/>
      <c r="I696" s="6"/>
      <c r="J696" s="6"/>
      <c r="K696" s="6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>
      <c r="A697" s="2"/>
      <c r="B697" s="4"/>
      <c r="C697" s="4"/>
      <c r="D697" s="4"/>
      <c r="E697" s="4"/>
      <c r="F697" s="4"/>
      <c r="G697" s="6"/>
      <c r="H697" s="6"/>
      <c r="I697" s="6"/>
      <c r="J697" s="6"/>
      <c r="K697" s="6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>
      <c r="A698" s="2"/>
      <c r="B698" s="4"/>
      <c r="C698" s="4"/>
      <c r="D698" s="4"/>
      <c r="E698" s="4"/>
      <c r="F698" s="4"/>
      <c r="G698" s="6"/>
      <c r="H698" s="6"/>
      <c r="I698" s="6"/>
      <c r="J698" s="6"/>
      <c r="K698" s="6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>
      <c r="A699" s="2"/>
      <c r="B699" s="4"/>
      <c r="C699" s="4"/>
      <c r="D699" s="4"/>
      <c r="E699" s="4"/>
      <c r="F699" s="4"/>
      <c r="G699" s="6"/>
      <c r="H699" s="6"/>
      <c r="I699" s="6"/>
      <c r="J699" s="6"/>
      <c r="K699" s="6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>
      <c r="A700" s="2"/>
      <c r="B700" s="4"/>
      <c r="C700" s="4"/>
      <c r="D700" s="4"/>
      <c r="E700" s="4"/>
      <c r="F700" s="4"/>
      <c r="G700" s="6"/>
      <c r="H700" s="6"/>
      <c r="I700" s="6"/>
      <c r="J700" s="6"/>
      <c r="K700" s="6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>
      <c r="A701" s="2"/>
      <c r="B701" s="4"/>
      <c r="C701" s="4"/>
      <c r="D701" s="4"/>
      <c r="E701" s="4"/>
      <c r="F701" s="4"/>
      <c r="G701" s="6"/>
      <c r="H701" s="6"/>
      <c r="I701" s="6"/>
      <c r="J701" s="6"/>
      <c r="K701" s="6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>
      <c r="A702" s="2"/>
      <c r="B702" s="4"/>
      <c r="C702" s="4"/>
      <c r="D702" s="4"/>
      <c r="E702" s="4"/>
      <c r="F702" s="4"/>
      <c r="G702" s="6"/>
      <c r="H702" s="6"/>
      <c r="I702" s="6"/>
      <c r="J702" s="6"/>
      <c r="K702" s="6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>
      <c r="A703" s="2"/>
      <c r="B703" s="4"/>
      <c r="C703" s="4"/>
      <c r="D703" s="4"/>
      <c r="E703" s="4"/>
      <c r="F703" s="4"/>
      <c r="G703" s="6"/>
      <c r="H703" s="6"/>
      <c r="I703" s="6"/>
      <c r="J703" s="6"/>
      <c r="K703" s="6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>
      <c r="A704" s="2"/>
      <c r="B704" s="4"/>
      <c r="C704" s="4"/>
      <c r="D704" s="4"/>
      <c r="E704" s="4"/>
      <c r="F704" s="4"/>
      <c r="G704" s="6"/>
      <c r="H704" s="6"/>
      <c r="I704" s="6"/>
      <c r="J704" s="6"/>
      <c r="K704" s="6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>
      <c r="A705" s="2"/>
      <c r="B705" s="4"/>
      <c r="C705" s="4"/>
      <c r="D705" s="4"/>
      <c r="E705" s="4"/>
      <c r="F705" s="4"/>
      <c r="G705" s="6"/>
      <c r="H705" s="6"/>
      <c r="I705" s="6"/>
      <c r="J705" s="6"/>
      <c r="K705" s="6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>
      <c r="A706" s="2"/>
      <c r="B706" s="4"/>
      <c r="C706" s="4"/>
      <c r="D706" s="4"/>
      <c r="E706" s="4"/>
      <c r="F706" s="4"/>
      <c r="G706" s="6"/>
      <c r="H706" s="6"/>
      <c r="I706" s="6"/>
      <c r="J706" s="6"/>
      <c r="K706" s="6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>
      <c r="A707" s="2"/>
      <c r="B707" s="4"/>
      <c r="C707" s="4"/>
      <c r="D707" s="4"/>
      <c r="E707" s="4"/>
      <c r="F707" s="4"/>
      <c r="G707" s="6"/>
      <c r="H707" s="6"/>
      <c r="I707" s="6"/>
      <c r="J707" s="6"/>
      <c r="K707" s="6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>
      <c r="A708" s="2"/>
      <c r="B708" s="4"/>
      <c r="C708" s="4"/>
      <c r="D708" s="4"/>
      <c r="E708" s="4"/>
      <c r="F708" s="4"/>
      <c r="G708" s="6"/>
      <c r="H708" s="6"/>
      <c r="I708" s="6"/>
      <c r="J708" s="6"/>
      <c r="K708" s="6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>
      <c r="A709" s="2"/>
      <c r="B709" s="4"/>
      <c r="C709" s="4"/>
      <c r="D709" s="4"/>
      <c r="E709" s="4"/>
      <c r="F709" s="4"/>
      <c r="G709" s="6"/>
      <c r="H709" s="6"/>
      <c r="I709" s="6"/>
      <c r="J709" s="6"/>
      <c r="K709" s="6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>
      <c r="A710" s="2"/>
      <c r="B710" s="4"/>
      <c r="C710" s="4"/>
      <c r="D710" s="4"/>
      <c r="E710" s="4"/>
      <c r="F710" s="4"/>
      <c r="G710" s="6"/>
      <c r="H710" s="6"/>
      <c r="I710" s="6"/>
      <c r="J710" s="6"/>
      <c r="K710" s="6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>
      <c r="A711" s="2"/>
      <c r="B711" s="4"/>
      <c r="C711" s="4"/>
      <c r="D711" s="4"/>
      <c r="E711" s="4"/>
      <c r="F711" s="4"/>
      <c r="G711" s="6"/>
      <c r="H711" s="6"/>
      <c r="I711" s="6"/>
      <c r="J711" s="6"/>
      <c r="K711" s="6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>
      <c r="A712" s="2"/>
      <c r="B712" s="4"/>
      <c r="C712" s="4"/>
      <c r="D712" s="4"/>
      <c r="E712" s="4"/>
      <c r="F712" s="4"/>
      <c r="G712" s="6"/>
      <c r="H712" s="6"/>
      <c r="I712" s="6"/>
      <c r="J712" s="6"/>
      <c r="K712" s="6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>
      <c r="A713" s="2"/>
      <c r="B713" s="4"/>
      <c r="C713" s="4"/>
      <c r="D713" s="4"/>
      <c r="E713" s="4"/>
      <c r="F713" s="4"/>
      <c r="G713" s="6"/>
      <c r="H713" s="6"/>
      <c r="I713" s="6"/>
      <c r="J713" s="6"/>
      <c r="K713" s="6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>
      <c r="A714" s="2"/>
      <c r="B714" s="4"/>
      <c r="C714" s="4"/>
      <c r="D714" s="4"/>
      <c r="E714" s="4"/>
      <c r="F714" s="4"/>
      <c r="G714" s="6"/>
      <c r="H714" s="6"/>
      <c r="I714" s="6"/>
      <c r="J714" s="6"/>
      <c r="K714" s="6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>
      <c r="A715" s="2"/>
      <c r="B715" s="4"/>
      <c r="C715" s="4"/>
      <c r="D715" s="4"/>
      <c r="E715" s="4"/>
      <c r="F715" s="4"/>
      <c r="G715" s="6"/>
      <c r="H715" s="6"/>
      <c r="I715" s="6"/>
      <c r="J715" s="6"/>
      <c r="K715" s="6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>
      <c r="A716" s="2"/>
      <c r="B716" s="4"/>
      <c r="C716" s="4"/>
      <c r="D716" s="4"/>
      <c r="E716" s="4"/>
      <c r="F716" s="4"/>
      <c r="G716" s="6"/>
      <c r="H716" s="6"/>
      <c r="I716" s="6"/>
      <c r="J716" s="6"/>
      <c r="K716" s="6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>
      <c r="A717" s="2"/>
      <c r="B717" s="4"/>
      <c r="C717" s="4"/>
      <c r="D717" s="4"/>
      <c r="E717" s="4"/>
      <c r="F717" s="4"/>
      <c r="G717" s="6"/>
      <c r="H717" s="6"/>
      <c r="I717" s="6"/>
      <c r="J717" s="6"/>
      <c r="K717" s="6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>
      <c r="A718" s="2"/>
      <c r="B718" s="4"/>
      <c r="C718" s="4"/>
      <c r="D718" s="4"/>
      <c r="E718" s="4"/>
      <c r="F718" s="4"/>
      <c r="G718" s="6"/>
      <c r="H718" s="6"/>
      <c r="I718" s="6"/>
      <c r="J718" s="6"/>
      <c r="K718" s="6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>
      <c r="A719" s="2"/>
      <c r="B719" s="4"/>
      <c r="C719" s="4"/>
      <c r="D719" s="4"/>
      <c r="E719" s="4"/>
      <c r="F719" s="4"/>
      <c r="G719" s="6"/>
      <c r="H719" s="6"/>
      <c r="I719" s="6"/>
      <c r="J719" s="6"/>
      <c r="K719" s="6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>
      <c r="A720" s="2"/>
      <c r="B720" s="4"/>
      <c r="C720" s="4"/>
      <c r="D720" s="4"/>
      <c r="E720" s="4"/>
      <c r="F720" s="4"/>
      <c r="G720" s="6"/>
      <c r="H720" s="6"/>
      <c r="I720" s="6"/>
      <c r="J720" s="6"/>
      <c r="K720" s="6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>
      <c r="A721" s="2"/>
      <c r="B721" s="4"/>
      <c r="C721" s="4"/>
      <c r="D721" s="4"/>
      <c r="E721" s="4"/>
      <c r="F721" s="4"/>
      <c r="G721" s="6"/>
      <c r="H721" s="6"/>
      <c r="I721" s="6"/>
      <c r="J721" s="6"/>
      <c r="K721" s="6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>
      <c r="A722" s="2"/>
      <c r="B722" s="4"/>
      <c r="C722" s="4"/>
      <c r="D722" s="4"/>
      <c r="E722" s="4"/>
      <c r="F722" s="4"/>
      <c r="G722" s="6"/>
      <c r="H722" s="6"/>
      <c r="I722" s="6"/>
      <c r="J722" s="6"/>
      <c r="K722" s="6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>
      <c r="A723" s="2"/>
      <c r="B723" s="4"/>
      <c r="C723" s="4"/>
      <c r="D723" s="4"/>
      <c r="E723" s="4"/>
      <c r="F723" s="4"/>
      <c r="G723" s="6"/>
      <c r="H723" s="6"/>
      <c r="I723" s="6"/>
      <c r="J723" s="6"/>
      <c r="K723" s="6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>
      <c r="A724" s="2"/>
      <c r="B724" s="4"/>
      <c r="C724" s="4"/>
      <c r="D724" s="4"/>
      <c r="E724" s="4"/>
      <c r="F724" s="4"/>
      <c r="G724" s="6"/>
      <c r="H724" s="6"/>
      <c r="I724" s="6"/>
      <c r="J724" s="6"/>
      <c r="K724" s="6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>
      <c r="A725" s="2"/>
      <c r="B725" s="4"/>
      <c r="C725" s="4"/>
      <c r="D725" s="4"/>
      <c r="E725" s="4"/>
      <c r="F725" s="4"/>
      <c r="G725" s="6"/>
      <c r="H725" s="6"/>
      <c r="I725" s="6"/>
      <c r="J725" s="6"/>
      <c r="K725" s="6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>
      <c r="A726" s="2"/>
      <c r="B726" s="4"/>
      <c r="C726" s="4"/>
      <c r="D726" s="4"/>
      <c r="E726" s="4"/>
      <c r="F726" s="4"/>
      <c r="G726" s="6"/>
      <c r="H726" s="6"/>
      <c r="I726" s="6"/>
      <c r="J726" s="6"/>
      <c r="K726" s="6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>
      <c r="A727" s="2"/>
      <c r="B727" s="4"/>
      <c r="C727" s="4"/>
      <c r="D727" s="4"/>
      <c r="E727" s="4"/>
      <c r="F727" s="4"/>
      <c r="G727" s="6"/>
      <c r="H727" s="6"/>
      <c r="I727" s="6"/>
      <c r="J727" s="6"/>
      <c r="K727" s="6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>
      <c r="A728" s="2"/>
      <c r="B728" s="4"/>
      <c r="C728" s="4"/>
      <c r="D728" s="4"/>
      <c r="E728" s="4"/>
      <c r="F728" s="4"/>
      <c r="G728" s="6"/>
      <c r="H728" s="6"/>
      <c r="I728" s="6"/>
      <c r="J728" s="6"/>
      <c r="K728" s="6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>
      <c r="A729" s="2"/>
      <c r="B729" s="4"/>
      <c r="C729" s="4"/>
      <c r="D729" s="4"/>
      <c r="E729" s="4"/>
      <c r="F729" s="4"/>
      <c r="G729" s="6"/>
      <c r="H729" s="6"/>
      <c r="I729" s="6"/>
      <c r="J729" s="6"/>
      <c r="K729" s="6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>
      <c r="A730" s="2"/>
      <c r="B730" s="4"/>
      <c r="C730" s="4"/>
      <c r="D730" s="4"/>
      <c r="E730" s="4"/>
      <c r="F730" s="4"/>
      <c r="G730" s="6"/>
      <c r="H730" s="6"/>
      <c r="I730" s="6"/>
      <c r="J730" s="6"/>
      <c r="K730" s="6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>
      <c r="A731" s="2"/>
      <c r="B731" s="4"/>
      <c r="C731" s="4"/>
      <c r="D731" s="4"/>
      <c r="E731" s="4"/>
      <c r="F731" s="4"/>
      <c r="G731" s="6"/>
      <c r="H731" s="6"/>
      <c r="I731" s="6"/>
      <c r="J731" s="6"/>
      <c r="K731" s="6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>
      <c r="A732" s="2"/>
      <c r="B732" s="4"/>
      <c r="C732" s="4"/>
      <c r="D732" s="4"/>
      <c r="E732" s="4"/>
      <c r="F732" s="4"/>
      <c r="G732" s="6"/>
      <c r="H732" s="6"/>
      <c r="I732" s="6"/>
      <c r="J732" s="6"/>
      <c r="K732" s="6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>
      <c r="A733" s="2"/>
      <c r="B733" s="4"/>
      <c r="C733" s="4"/>
      <c r="D733" s="4"/>
      <c r="E733" s="4"/>
      <c r="F733" s="4"/>
      <c r="G733" s="6"/>
      <c r="H733" s="6"/>
      <c r="I733" s="6"/>
      <c r="J733" s="6"/>
      <c r="K733" s="6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>
      <c r="A734" s="2"/>
      <c r="B734" s="4"/>
      <c r="C734" s="4"/>
      <c r="D734" s="4"/>
      <c r="E734" s="4"/>
      <c r="F734" s="4"/>
      <c r="G734" s="6"/>
      <c r="H734" s="6"/>
      <c r="I734" s="6"/>
      <c r="J734" s="6"/>
      <c r="K734" s="6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>
      <c r="A735" s="2"/>
      <c r="B735" s="4"/>
      <c r="C735" s="4"/>
      <c r="D735" s="4"/>
      <c r="E735" s="4"/>
      <c r="F735" s="4"/>
      <c r="G735" s="6"/>
      <c r="H735" s="6"/>
      <c r="I735" s="6"/>
      <c r="J735" s="6"/>
      <c r="K735" s="6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>
      <c r="A736" s="2"/>
      <c r="B736" s="4"/>
      <c r="C736" s="4"/>
      <c r="D736" s="4"/>
      <c r="E736" s="4"/>
      <c r="F736" s="4"/>
      <c r="G736" s="6"/>
      <c r="H736" s="6"/>
      <c r="I736" s="6"/>
      <c r="J736" s="6"/>
      <c r="K736" s="6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>
      <c r="A737" s="2"/>
      <c r="B737" s="4"/>
      <c r="C737" s="4"/>
      <c r="D737" s="4"/>
      <c r="E737" s="4"/>
      <c r="F737" s="4"/>
      <c r="G737" s="6"/>
      <c r="H737" s="6"/>
      <c r="I737" s="6"/>
      <c r="J737" s="6"/>
      <c r="K737" s="6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>
      <c r="A738" s="2"/>
      <c r="B738" s="4"/>
      <c r="C738" s="4"/>
      <c r="D738" s="4"/>
      <c r="E738" s="4"/>
      <c r="F738" s="4"/>
      <c r="G738" s="6"/>
      <c r="H738" s="6"/>
      <c r="I738" s="6"/>
      <c r="J738" s="6"/>
      <c r="K738" s="6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>
      <c r="A739" s="2"/>
      <c r="B739" s="4"/>
      <c r="C739" s="4"/>
      <c r="D739" s="4"/>
      <c r="E739" s="4"/>
      <c r="F739" s="4"/>
      <c r="G739" s="6"/>
      <c r="H739" s="6"/>
      <c r="I739" s="6"/>
      <c r="J739" s="6"/>
      <c r="K739" s="6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>
      <c r="A740" s="2"/>
      <c r="B740" s="4"/>
      <c r="C740" s="4"/>
      <c r="D740" s="4"/>
      <c r="E740" s="4"/>
      <c r="F740" s="4"/>
      <c r="G740" s="6"/>
      <c r="H740" s="6"/>
      <c r="I740" s="6"/>
      <c r="J740" s="6"/>
      <c r="K740" s="6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>
      <c r="A741" s="2"/>
      <c r="B741" s="4"/>
      <c r="C741" s="4"/>
      <c r="D741" s="4"/>
      <c r="E741" s="4"/>
      <c r="F741" s="4"/>
      <c r="G741" s="6"/>
      <c r="H741" s="6"/>
      <c r="I741" s="6"/>
      <c r="J741" s="6"/>
      <c r="K741" s="6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>
      <c r="A742" s="2"/>
      <c r="B742" s="4"/>
      <c r="C742" s="4"/>
      <c r="D742" s="4"/>
      <c r="E742" s="4"/>
      <c r="F742" s="4"/>
      <c r="G742" s="6"/>
      <c r="H742" s="6"/>
      <c r="I742" s="6"/>
      <c r="J742" s="6"/>
      <c r="K742" s="6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>
      <c r="A743" s="2"/>
      <c r="B743" s="4"/>
      <c r="C743" s="4"/>
      <c r="D743" s="4"/>
      <c r="E743" s="4"/>
      <c r="F743" s="4"/>
      <c r="G743" s="6"/>
      <c r="H743" s="6"/>
      <c r="I743" s="6"/>
      <c r="J743" s="6"/>
      <c r="K743" s="6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>
      <c r="A744" s="2"/>
      <c r="B744" s="4"/>
      <c r="C744" s="4"/>
      <c r="D744" s="4"/>
      <c r="E744" s="4"/>
      <c r="F744" s="4"/>
      <c r="G744" s="6"/>
      <c r="H744" s="6"/>
      <c r="I744" s="6"/>
      <c r="J744" s="6"/>
      <c r="K744" s="6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>
      <c r="A745" s="2"/>
      <c r="B745" s="4"/>
      <c r="C745" s="4"/>
      <c r="D745" s="4"/>
      <c r="E745" s="4"/>
      <c r="F745" s="4"/>
      <c r="G745" s="6"/>
      <c r="H745" s="6"/>
      <c r="I745" s="6"/>
      <c r="J745" s="6"/>
      <c r="K745" s="6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>
      <c r="A746" s="2"/>
      <c r="B746" s="4"/>
      <c r="C746" s="4"/>
      <c r="D746" s="4"/>
      <c r="E746" s="4"/>
      <c r="F746" s="4"/>
      <c r="G746" s="6"/>
      <c r="H746" s="6"/>
      <c r="I746" s="6"/>
      <c r="J746" s="6"/>
      <c r="K746" s="6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>
      <c r="A747" s="2"/>
      <c r="B747" s="4"/>
      <c r="C747" s="4"/>
      <c r="D747" s="4"/>
      <c r="E747" s="4"/>
      <c r="F747" s="4"/>
      <c r="G747" s="6"/>
      <c r="H747" s="6"/>
      <c r="I747" s="6"/>
      <c r="J747" s="6"/>
      <c r="K747" s="6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>
      <c r="A748" s="2"/>
      <c r="B748" s="4"/>
      <c r="C748" s="4"/>
      <c r="D748" s="4"/>
      <c r="E748" s="4"/>
      <c r="F748" s="4"/>
      <c r="G748" s="6"/>
      <c r="H748" s="6"/>
      <c r="I748" s="6"/>
      <c r="J748" s="6"/>
      <c r="K748" s="6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>
      <c r="A749" s="2"/>
      <c r="B749" s="4"/>
      <c r="C749" s="4"/>
      <c r="D749" s="4"/>
      <c r="E749" s="4"/>
      <c r="F749" s="4"/>
      <c r="G749" s="6"/>
      <c r="H749" s="6"/>
      <c r="I749" s="6"/>
      <c r="J749" s="6"/>
      <c r="K749" s="6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>
      <c r="A750" s="2"/>
      <c r="B750" s="4"/>
      <c r="C750" s="4"/>
      <c r="D750" s="4"/>
      <c r="E750" s="4"/>
      <c r="F750" s="4"/>
      <c r="G750" s="6"/>
      <c r="H750" s="6"/>
      <c r="I750" s="6"/>
      <c r="J750" s="6"/>
      <c r="K750" s="6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>
      <c r="A751" s="2"/>
      <c r="B751" s="4"/>
      <c r="C751" s="4"/>
      <c r="D751" s="4"/>
      <c r="E751" s="4"/>
      <c r="F751" s="4"/>
      <c r="G751" s="6"/>
      <c r="H751" s="6"/>
      <c r="I751" s="6"/>
      <c r="J751" s="6"/>
      <c r="K751" s="6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>
      <c r="A752" s="2"/>
      <c r="B752" s="4"/>
      <c r="C752" s="4"/>
      <c r="D752" s="4"/>
      <c r="E752" s="4"/>
      <c r="F752" s="4"/>
      <c r="G752" s="6"/>
      <c r="H752" s="6"/>
      <c r="I752" s="6"/>
      <c r="J752" s="6"/>
      <c r="K752" s="6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>
      <c r="A753" s="2"/>
      <c r="B753" s="4"/>
      <c r="C753" s="4"/>
      <c r="D753" s="4"/>
      <c r="E753" s="4"/>
      <c r="F753" s="4"/>
      <c r="G753" s="6"/>
      <c r="H753" s="6"/>
      <c r="I753" s="6"/>
      <c r="J753" s="6"/>
      <c r="K753" s="6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>
      <c r="A754" s="2"/>
      <c r="B754" s="4"/>
      <c r="C754" s="4"/>
      <c r="D754" s="4"/>
      <c r="E754" s="4"/>
      <c r="F754" s="4"/>
      <c r="G754" s="6"/>
      <c r="H754" s="6"/>
      <c r="I754" s="6"/>
      <c r="J754" s="6"/>
      <c r="K754" s="6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>
      <c r="A755" s="2"/>
      <c r="B755" s="4"/>
      <c r="C755" s="4"/>
      <c r="D755" s="4"/>
      <c r="E755" s="4"/>
      <c r="F755" s="4"/>
      <c r="G755" s="6"/>
      <c r="H755" s="6"/>
      <c r="I755" s="6"/>
      <c r="J755" s="6"/>
      <c r="K755" s="6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>
      <c r="A756" s="2"/>
      <c r="B756" s="4"/>
      <c r="C756" s="4"/>
      <c r="D756" s="4"/>
      <c r="E756" s="4"/>
      <c r="F756" s="4"/>
      <c r="G756" s="6"/>
      <c r="H756" s="6"/>
      <c r="I756" s="6"/>
      <c r="J756" s="6"/>
      <c r="K756" s="6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>
      <c r="A757" s="2"/>
      <c r="B757" s="4"/>
      <c r="C757" s="4"/>
      <c r="D757" s="4"/>
      <c r="E757" s="4"/>
      <c r="F757" s="4"/>
      <c r="G757" s="6"/>
      <c r="H757" s="6"/>
      <c r="I757" s="6"/>
      <c r="J757" s="6"/>
      <c r="K757" s="6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>
      <c r="A758" s="2"/>
      <c r="B758" s="4"/>
      <c r="C758" s="4"/>
      <c r="D758" s="4"/>
      <c r="E758" s="4"/>
      <c r="F758" s="4"/>
      <c r="G758" s="6"/>
      <c r="H758" s="6"/>
      <c r="I758" s="6"/>
      <c r="J758" s="6"/>
      <c r="K758" s="6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>
      <c r="A759" s="2"/>
      <c r="B759" s="4"/>
      <c r="C759" s="4"/>
      <c r="D759" s="4"/>
      <c r="E759" s="4"/>
      <c r="F759" s="4"/>
      <c r="G759" s="6"/>
      <c r="H759" s="6"/>
      <c r="I759" s="6"/>
      <c r="J759" s="6"/>
      <c r="K759" s="6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>
      <c r="A760" s="2"/>
      <c r="B760" s="4"/>
      <c r="C760" s="4"/>
      <c r="D760" s="4"/>
      <c r="E760" s="4"/>
      <c r="F760" s="4"/>
      <c r="G760" s="6"/>
      <c r="H760" s="6"/>
      <c r="I760" s="6"/>
      <c r="J760" s="6"/>
      <c r="K760" s="6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>
      <c r="A761" s="2"/>
      <c r="B761" s="4"/>
      <c r="C761" s="4"/>
      <c r="D761" s="4"/>
      <c r="E761" s="4"/>
      <c r="F761" s="4"/>
      <c r="G761" s="6"/>
      <c r="H761" s="6"/>
      <c r="I761" s="6"/>
      <c r="J761" s="6"/>
      <c r="K761" s="6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>
      <c r="A762" s="2"/>
      <c r="B762" s="4"/>
      <c r="C762" s="4"/>
      <c r="D762" s="4"/>
      <c r="E762" s="4"/>
      <c r="F762" s="4"/>
      <c r="G762" s="6"/>
      <c r="H762" s="6"/>
      <c r="I762" s="6"/>
      <c r="J762" s="6"/>
      <c r="K762" s="6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>
      <c r="A763" s="2"/>
      <c r="B763" s="4"/>
      <c r="C763" s="4"/>
      <c r="D763" s="4"/>
      <c r="E763" s="4"/>
      <c r="F763" s="4"/>
      <c r="G763" s="6"/>
      <c r="H763" s="6"/>
      <c r="I763" s="6"/>
      <c r="J763" s="6"/>
      <c r="K763" s="6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>
      <c r="A764" s="2"/>
      <c r="B764" s="4"/>
      <c r="C764" s="4"/>
      <c r="D764" s="4"/>
      <c r="E764" s="4"/>
      <c r="F764" s="4"/>
      <c r="G764" s="6"/>
      <c r="H764" s="6"/>
      <c r="I764" s="6"/>
      <c r="J764" s="6"/>
      <c r="K764" s="6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>
      <c r="A765" s="2"/>
      <c r="B765" s="4"/>
      <c r="C765" s="4"/>
      <c r="D765" s="4"/>
      <c r="E765" s="4"/>
      <c r="F765" s="4"/>
      <c r="G765" s="6"/>
      <c r="H765" s="6"/>
      <c r="I765" s="6"/>
      <c r="J765" s="6"/>
      <c r="K765" s="6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>
      <c r="A766" s="2"/>
      <c r="B766" s="4"/>
      <c r="C766" s="4"/>
      <c r="D766" s="4"/>
      <c r="E766" s="4"/>
      <c r="F766" s="4"/>
      <c r="G766" s="6"/>
      <c r="H766" s="6"/>
      <c r="I766" s="6"/>
      <c r="J766" s="6"/>
      <c r="K766" s="6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>
      <c r="A767" s="2"/>
      <c r="B767" s="4"/>
      <c r="C767" s="4"/>
      <c r="D767" s="4"/>
      <c r="E767" s="4"/>
      <c r="F767" s="4"/>
      <c r="G767" s="6"/>
      <c r="H767" s="6"/>
      <c r="I767" s="6"/>
      <c r="J767" s="6"/>
      <c r="K767" s="6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>
      <c r="A768" s="2"/>
      <c r="B768" s="4"/>
      <c r="C768" s="4"/>
      <c r="D768" s="4"/>
      <c r="E768" s="4"/>
      <c r="F768" s="4"/>
      <c r="G768" s="6"/>
      <c r="H768" s="6"/>
      <c r="I768" s="6"/>
      <c r="J768" s="6"/>
      <c r="K768" s="6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>
      <c r="A769" s="2"/>
      <c r="B769" s="4"/>
      <c r="C769" s="4"/>
      <c r="D769" s="4"/>
      <c r="E769" s="4"/>
      <c r="F769" s="4"/>
      <c r="G769" s="6"/>
      <c r="H769" s="6"/>
      <c r="I769" s="6"/>
      <c r="J769" s="6"/>
      <c r="K769" s="6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>
      <c r="A770" s="2"/>
      <c r="B770" s="4"/>
      <c r="C770" s="4"/>
      <c r="D770" s="4"/>
      <c r="E770" s="4"/>
      <c r="F770" s="4"/>
      <c r="G770" s="6"/>
      <c r="H770" s="6"/>
      <c r="I770" s="6"/>
      <c r="J770" s="6"/>
      <c r="K770" s="6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>
      <c r="A771" s="2"/>
      <c r="B771" s="4"/>
      <c r="C771" s="4"/>
      <c r="D771" s="4"/>
      <c r="E771" s="4"/>
      <c r="F771" s="4"/>
      <c r="G771" s="6"/>
      <c r="H771" s="6"/>
      <c r="I771" s="6"/>
      <c r="J771" s="6"/>
      <c r="K771" s="6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>
      <c r="A772" s="2"/>
      <c r="B772" s="4"/>
      <c r="C772" s="4"/>
      <c r="D772" s="4"/>
      <c r="E772" s="4"/>
      <c r="F772" s="4"/>
      <c r="G772" s="6"/>
      <c r="H772" s="6"/>
      <c r="I772" s="6"/>
      <c r="J772" s="6"/>
      <c r="K772" s="6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>
      <c r="A773" s="2"/>
      <c r="B773" s="4"/>
      <c r="C773" s="4"/>
      <c r="D773" s="4"/>
      <c r="E773" s="4"/>
      <c r="F773" s="4"/>
      <c r="G773" s="6"/>
      <c r="H773" s="6"/>
      <c r="I773" s="6"/>
      <c r="J773" s="6"/>
      <c r="K773" s="6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>
      <c r="A774" s="2"/>
      <c r="B774" s="4"/>
      <c r="C774" s="4"/>
      <c r="D774" s="4"/>
      <c r="E774" s="4"/>
      <c r="F774" s="4"/>
      <c r="G774" s="6"/>
      <c r="H774" s="6"/>
      <c r="I774" s="6"/>
      <c r="J774" s="6"/>
      <c r="K774" s="6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>
      <c r="A775" s="2"/>
      <c r="B775" s="4"/>
      <c r="C775" s="4"/>
      <c r="D775" s="4"/>
      <c r="E775" s="4"/>
      <c r="F775" s="4"/>
      <c r="G775" s="6"/>
      <c r="H775" s="6"/>
      <c r="I775" s="6"/>
      <c r="J775" s="6"/>
      <c r="K775" s="6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>
      <c r="A776" s="2"/>
      <c r="B776" s="4"/>
      <c r="C776" s="4"/>
      <c r="D776" s="4"/>
      <c r="E776" s="4"/>
      <c r="F776" s="4"/>
      <c r="G776" s="6"/>
      <c r="H776" s="6"/>
      <c r="I776" s="6"/>
      <c r="J776" s="6"/>
      <c r="K776" s="6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>
      <c r="A777" s="2"/>
      <c r="B777" s="4"/>
      <c r="C777" s="4"/>
      <c r="D777" s="4"/>
      <c r="E777" s="4"/>
      <c r="F777" s="4"/>
      <c r="G777" s="6"/>
      <c r="H777" s="6"/>
      <c r="I777" s="6"/>
      <c r="J777" s="6"/>
      <c r="K777" s="6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>
      <c r="A778" s="2"/>
      <c r="B778" s="4"/>
      <c r="C778" s="4"/>
      <c r="D778" s="4"/>
      <c r="E778" s="4"/>
      <c r="F778" s="4"/>
      <c r="G778" s="6"/>
      <c r="H778" s="6"/>
      <c r="I778" s="6"/>
      <c r="J778" s="6"/>
      <c r="K778" s="6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>
      <c r="A779" s="2"/>
      <c r="B779" s="4"/>
      <c r="C779" s="4"/>
      <c r="D779" s="4"/>
      <c r="E779" s="4"/>
      <c r="F779" s="4"/>
      <c r="G779" s="6"/>
      <c r="H779" s="6"/>
      <c r="I779" s="6"/>
      <c r="J779" s="6"/>
      <c r="K779" s="6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>
      <c r="A780" s="2"/>
      <c r="B780" s="4"/>
      <c r="C780" s="4"/>
      <c r="D780" s="4"/>
      <c r="E780" s="4"/>
      <c r="F780" s="4"/>
      <c r="G780" s="6"/>
      <c r="H780" s="6"/>
      <c r="I780" s="6"/>
      <c r="J780" s="6"/>
      <c r="K780" s="6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>
      <c r="A781" s="2"/>
      <c r="B781" s="4"/>
      <c r="C781" s="4"/>
      <c r="D781" s="4"/>
      <c r="E781" s="4"/>
      <c r="F781" s="4"/>
      <c r="G781" s="6"/>
      <c r="H781" s="6"/>
      <c r="I781" s="6"/>
      <c r="J781" s="6"/>
      <c r="K781" s="6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>
      <c r="A782" s="2"/>
      <c r="B782" s="4"/>
      <c r="C782" s="4"/>
      <c r="D782" s="4"/>
      <c r="E782" s="4"/>
      <c r="F782" s="4"/>
      <c r="G782" s="6"/>
      <c r="H782" s="6"/>
      <c r="I782" s="6"/>
      <c r="J782" s="6"/>
      <c r="K782" s="6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>
      <c r="A783" s="2"/>
      <c r="B783" s="4"/>
      <c r="C783" s="4"/>
      <c r="D783" s="4"/>
      <c r="E783" s="4"/>
      <c r="F783" s="4"/>
      <c r="G783" s="6"/>
      <c r="H783" s="6"/>
      <c r="I783" s="6"/>
      <c r="J783" s="6"/>
      <c r="K783" s="6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>
      <c r="A784" s="2"/>
      <c r="B784" s="4"/>
      <c r="C784" s="4"/>
      <c r="D784" s="4"/>
      <c r="E784" s="4"/>
      <c r="F784" s="4"/>
      <c r="G784" s="6"/>
      <c r="H784" s="6"/>
      <c r="I784" s="6"/>
      <c r="J784" s="6"/>
      <c r="K784" s="6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>
      <c r="A785" s="2"/>
      <c r="B785" s="4"/>
      <c r="C785" s="4"/>
      <c r="D785" s="4"/>
      <c r="E785" s="4"/>
      <c r="F785" s="4"/>
      <c r="G785" s="6"/>
      <c r="H785" s="6"/>
      <c r="I785" s="6"/>
      <c r="J785" s="6"/>
      <c r="K785" s="6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>
      <c r="A786" s="2"/>
      <c r="B786" s="4"/>
      <c r="C786" s="4"/>
      <c r="D786" s="4"/>
      <c r="E786" s="4"/>
      <c r="F786" s="4"/>
      <c r="G786" s="6"/>
      <c r="H786" s="6"/>
      <c r="I786" s="6"/>
      <c r="J786" s="6"/>
      <c r="K786" s="6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>
      <c r="A787" s="2"/>
      <c r="B787" s="4"/>
      <c r="C787" s="4"/>
      <c r="D787" s="4"/>
      <c r="E787" s="4"/>
      <c r="F787" s="4"/>
      <c r="G787" s="6"/>
      <c r="H787" s="6"/>
      <c r="I787" s="6"/>
      <c r="J787" s="6"/>
      <c r="K787" s="6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>
      <c r="A788" s="2"/>
      <c r="B788" s="4"/>
      <c r="C788" s="4"/>
      <c r="D788" s="4"/>
      <c r="E788" s="4"/>
      <c r="F788" s="4"/>
      <c r="G788" s="6"/>
      <c r="H788" s="6"/>
      <c r="I788" s="6"/>
      <c r="J788" s="6"/>
      <c r="K788" s="6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>
      <c r="A789" s="2"/>
      <c r="B789" s="4"/>
      <c r="C789" s="4"/>
      <c r="D789" s="4"/>
      <c r="E789" s="4"/>
      <c r="F789" s="4"/>
      <c r="G789" s="6"/>
      <c r="H789" s="6"/>
      <c r="I789" s="6"/>
      <c r="J789" s="6"/>
      <c r="K789" s="6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>
      <c r="A790" s="2"/>
      <c r="B790" s="4"/>
      <c r="C790" s="4"/>
      <c r="D790" s="4"/>
      <c r="E790" s="4"/>
      <c r="F790" s="4"/>
      <c r="G790" s="6"/>
      <c r="H790" s="6"/>
      <c r="I790" s="6"/>
      <c r="J790" s="6"/>
      <c r="K790" s="6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>
      <c r="A791" s="2"/>
      <c r="B791" s="4"/>
      <c r="C791" s="4"/>
      <c r="D791" s="4"/>
      <c r="E791" s="4"/>
      <c r="F791" s="4"/>
      <c r="G791" s="6"/>
      <c r="H791" s="6"/>
      <c r="I791" s="6"/>
      <c r="J791" s="6"/>
      <c r="K791" s="6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>
      <c r="A792" s="2"/>
      <c r="B792" s="4"/>
      <c r="C792" s="4"/>
      <c r="D792" s="4"/>
      <c r="E792" s="4"/>
      <c r="F792" s="4"/>
      <c r="G792" s="6"/>
      <c r="H792" s="6"/>
      <c r="I792" s="6"/>
      <c r="J792" s="6"/>
      <c r="K792" s="6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>
      <c r="A793" s="2"/>
      <c r="B793" s="4"/>
      <c r="C793" s="4"/>
      <c r="D793" s="4"/>
      <c r="E793" s="4"/>
      <c r="F793" s="4"/>
      <c r="G793" s="6"/>
      <c r="H793" s="6"/>
      <c r="I793" s="6"/>
      <c r="J793" s="6"/>
      <c r="K793" s="6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>
      <c r="A794" s="2"/>
      <c r="B794" s="4"/>
      <c r="C794" s="4"/>
      <c r="D794" s="4"/>
      <c r="E794" s="4"/>
      <c r="F794" s="4"/>
      <c r="G794" s="6"/>
      <c r="H794" s="6"/>
      <c r="I794" s="6"/>
      <c r="J794" s="6"/>
      <c r="K794" s="6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>
      <c r="A795" s="2"/>
      <c r="B795" s="4"/>
      <c r="C795" s="4"/>
      <c r="D795" s="4"/>
      <c r="E795" s="4"/>
      <c r="F795" s="4"/>
      <c r="G795" s="6"/>
      <c r="H795" s="6"/>
      <c r="I795" s="6"/>
      <c r="J795" s="6"/>
      <c r="K795" s="6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>
      <c r="A796" s="2"/>
      <c r="B796" s="4"/>
      <c r="C796" s="4"/>
      <c r="D796" s="4"/>
      <c r="E796" s="4"/>
      <c r="F796" s="4"/>
      <c r="G796" s="6"/>
      <c r="H796" s="6"/>
      <c r="I796" s="6"/>
      <c r="J796" s="6"/>
      <c r="K796" s="6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>
      <c r="A797" s="2"/>
      <c r="B797" s="4"/>
      <c r="C797" s="4"/>
      <c r="D797" s="4"/>
      <c r="E797" s="4"/>
      <c r="F797" s="4"/>
      <c r="G797" s="6"/>
      <c r="H797" s="6"/>
      <c r="I797" s="6"/>
      <c r="J797" s="6"/>
      <c r="K797" s="6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>
      <c r="A798" s="2"/>
      <c r="B798" s="4"/>
      <c r="C798" s="4"/>
      <c r="D798" s="4"/>
      <c r="E798" s="4"/>
      <c r="F798" s="4"/>
      <c r="G798" s="6"/>
      <c r="H798" s="6"/>
      <c r="I798" s="6"/>
      <c r="J798" s="6"/>
      <c r="K798" s="6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>
      <c r="A799" s="2"/>
      <c r="B799" s="4"/>
      <c r="C799" s="4"/>
      <c r="D799" s="4"/>
      <c r="E799" s="4"/>
      <c r="F799" s="4"/>
      <c r="G799" s="6"/>
      <c r="H799" s="6"/>
      <c r="I799" s="6"/>
      <c r="J799" s="6"/>
      <c r="K799" s="6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>
      <c r="A800" s="2"/>
      <c r="B800" s="4"/>
      <c r="C800" s="4"/>
      <c r="D800" s="4"/>
      <c r="E800" s="4"/>
      <c r="F800" s="4"/>
      <c r="G800" s="6"/>
      <c r="H800" s="6"/>
      <c r="I800" s="6"/>
      <c r="J800" s="6"/>
      <c r="K800" s="6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>
      <c r="A801" s="2"/>
      <c r="B801" s="4"/>
      <c r="C801" s="4"/>
      <c r="D801" s="4"/>
      <c r="E801" s="4"/>
      <c r="F801" s="4"/>
      <c r="G801" s="6"/>
      <c r="H801" s="6"/>
      <c r="I801" s="6"/>
      <c r="J801" s="6"/>
      <c r="K801" s="6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>
      <c r="A802" s="2"/>
      <c r="B802" s="4"/>
      <c r="C802" s="4"/>
      <c r="D802" s="4"/>
      <c r="E802" s="4"/>
      <c r="F802" s="4"/>
      <c r="G802" s="6"/>
      <c r="H802" s="6"/>
      <c r="I802" s="6"/>
      <c r="J802" s="6"/>
      <c r="K802" s="6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>
      <c r="A803" s="2"/>
      <c r="B803" s="4"/>
      <c r="C803" s="4"/>
      <c r="D803" s="4"/>
      <c r="E803" s="4"/>
      <c r="F803" s="4"/>
      <c r="G803" s="6"/>
      <c r="H803" s="6"/>
      <c r="I803" s="6"/>
      <c r="J803" s="6"/>
      <c r="K803" s="6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>
      <c r="A804" s="2"/>
      <c r="B804" s="4"/>
      <c r="C804" s="4"/>
      <c r="D804" s="4"/>
      <c r="E804" s="4"/>
      <c r="F804" s="4"/>
      <c r="G804" s="6"/>
      <c r="H804" s="6"/>
      <c r="I804" s="6"/>
      <c r="J804" s="6"/>
      <c r="K804" s="6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>
      <c r="A805" s="2"/>
      <c r="B805" s="4"/>
      <c r="C805" s="4"/>
      <c r="D805" s="4"/>
      <c r="E805" s="4"/>
      <c r="F805" s="4"/>
      <c r="G805" s="6"/>
      <c r="H805" s="6"/>
      <c r="I805" s="6"/>
      <c r="J805" s="6"/>
      <c r="K805" s="6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>
      <c r="A806" s="2"/>
      <c r="B806" s="4"/>
      <c r="C806" s="4"/>
      <c r="D806" s="4"/>
      <c r="E806" s="4"/>
      <c r="F806" s="4"/>
      <c r="G806" s="6"/>
      <c r="H806" s="6"/>
      <c r="I806" s="6"/>
      <c r="J806" s="6"/>
      <c r="K806" s="6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>
      <c r="A807" s="2"/>
      <c r="B807" s="4"/>
      <c r="C807" s="4"/>
      <c r="D807" s="4"/>
      <c r="E807" s="4"/>
      <c r="F807" s="4"/>
      <c r="G807" s="6"/>
      <c r="H807" s="6"/>
      <c r="I807" s="6"/>
      <c r="J807" s="6"/>
      <c r="K807" s="6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>
      <c r="A808" s="2"/>
      <c r="B808" s="4"/>
      <c r="C808" s="4"/>
      <c r="D808" s="4"/>
      <c r="E808" s="4"/>
      <c r="F808" s="4"/>
      <c r="G808" s="6"/>
      <c r="H808" s="6"/>
      <c r="I808" s="6"/>
      <c r="J808" s="6"/>
      <c r="K808" s="6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>
      <c r="A809" s="2"/>
      <c r="B809" s="4"/>
      <c r="C809" s="4"/>
      <c r="D809" s="4"/>
      <c r="E809" s="4"/>
      <c r="F809" s="4"/>
      <c r="G809" s="6"/>
      <c r="H809" s="6"/>
      <c r="I809" s="6"/>
      <c r="J809" s="6"/>
      <c r="K809" s="6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>
      <c r="A810" s="2"/>
      <c r="B810" s="4"/>
      <c r="C810" s="4"/>
      <c r="D810" s="4"/>
      <c r="E810" s="4"/>
      <c r="F810" s="4"/>
      <c r="G810" s="6"/>
      <c r="H810" s="6"/>
      <c r="I810" s="6"/>
      <c r="J810" s="6"/>
      <c r="K810" s="6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>
      <c r="A811" s="2"/>
      <c r="B811" s="4"/>
      <c r="C811" s="4"/>
      <c r="D811" s="4"/>
      <c r="E811" s="4"/>
      <c r="F811" s="4"/>
      <c r="G811" s="6"/>
      <c r="H811" s="6"/>
      <c r="I811" s="6"/>
      <c r="J811" s="6"/>
      <c r="K811" s="6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>
      <c r="A812" s="2"/>
      <c r="B812" s="4"/>
      <c r="C812" s="4"/>
      <c r="D812" s="4"/>
      <c r="E812" s="4"/>
      <c r="F812" s="4"/>
      <c r="G812" s="6"/>
      <c r="H812" s="6"/>
      <c r="I812" s="6"/>
      <c r="J812" s="6"/>
      <c r="K812" s="6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>
      <c r="A813" s="2"/>
      <c r="B813" s="4"/>
      <c r="C813" s="4"/>
      <c r="D813" s="4"/>
      <c r="E813" s="4"/>
      <c r="F813" s="4"/>
      <c r="G813" s="6"/>
      <c r="H813" s="6"/>
      <c r="I813" s="6"/>
      <c r="J813" s="6"/>
      <c r="K813" s="6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>
      <c r="A814" s="2"/>
      <c r="B814" s="4"/>
      <c r="C814" s="4"/>
      <c r="D814" s="4"/>
      <c r="E814" s="4"/>
      <c r="F814" s="4"/>
      <c r="G814" s="6"/>
      <c r="H814" s="6"/>
      <c r="I814" s="6"/>
      <c r="J814" s="6"/>
      <c r="K814" s="6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>
      <c r="A815" s="2"/>
      <c r="B815" s="4"/>
      <c r="C815" s="4"/>
      <c r="D815" s="4"/>
      <c r="E815" s="4"/>
      <c r="F815" s="4"/>
      <c r="G815" s="6"/>
      <c r="H815" s="6"/>
      <c r="I815" s="6"/>
      <c r="J815" s="6"/>
      <c r="K815" s="6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>
      <c r="A816" s="2"/>
      <c r="B816" s="4"/>
      <c r="C816" s="4"/>
      <c r="D816" s="4"/>
      <c r="E816" s="4"/>
      <c r="F816" s="4"/>
      <c r="G816" s="6"/>
      <c r="H816" s="6"/>
      <c r="I816" s="6"/>
      <c r="J816" s="6"/>
      <c r="K816" s="6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>
      <c r="A817" s="2"/>
      <c r="B817" s="4"/>
      <c r="C817" s="4"/>
      <c r="D817" s="4"/>
      <c r="E817" s="4"/>
      <c r="F817" s="4"/>
      <c r="G817" s="6"/>
      <c r="H817" s="6"/>
      <c r="I817" s="6"/>
      <c r="J817" s="6"/>
      <c r="K817" s="6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>
      <c r="A818" s="2"/>
      <c r="B818" s="4"/>
      <c r="C818" s="4"/>
      <c r="D818" s="4"/>
      <c r="E818" s="4"/>
      <c r="F818" s="4"/>
      <c r="G818" s="6"/>
      <c r="H818" s="6"/>
      <c r="I818" s="6"/>
      <c r="J818" s="6"/>
      <c r="K818" s="6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>
      <c r="A819" s="2"/>
      <c r="B819" s="4"/>
      <c r="C819" s="4"/>
      <c r="D819" s="4"/>
      <c r="E819" s="4"/>
      <c r="F819" s="4"/>
      <c r="G819" s="6"/>
      <c r="H819" s="6"/>
      <c r="I819" s="6"/>
      <c r="J819" s="6"/>
      <c r="K819" s="6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>
      <c r="A820" s="2"/>
      <c r="B820" s="4"/>
      <c r="C820" s="4"/>
      <c r="D820" s="4"/>
      <c r="E820" s="4"/>
      <c r="F820" s="4"/>
      <c r="G820" s="6"/>
      <c r="H820" s="6"/>
      <c r="I820" s="6"/>
      <c r="J820" s="6"/>
      <c r="K820" s="6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>
      <c r="A821" s="2"/>
      <c r="B821" s="4"/>
      <c r="C821" s="4"/>
      <c r="D821" s="4"/>
      <c r="E821" s="4"/>
      <c r="F821" s="4"/>
      <c r="G821" s="6"/>
      <c r="H821" s="6"/>
      <c r="I821" s="6"/>
      <c r="J821" s="6"/>
      <c r="K821" s="6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>
      <c r="A822" s="2"/>
      <c r="B822" s="4"/>
      <c r="C822" s="4"/>
      <c r="D822" s="4"/>
      <c r="E822" s="4"/>
      <c r="F822" s="4"/>
      <c r="G822" s="6"/>
      <c r="H822" s="6"/>
      <c r="I822" s="6"/>
      <c r="J822" s="6"/>
      <c r="K822" s="6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>
      <c r="A823" s="2"/>
      <c r="B823" s="4"/>
      <c r="C823" s="4"/>
      <c r="D823" s="4"/>
      <c r="E823" s="4"/>
      <c r="F823" s="4"/>
      <c r="G823" s="6"/>
      <c r="H823" s="6"/>
      <c r="I823" s="6"/>
      <c r="J823" s="6"/>
      <c r="K823" s="6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>
      <c r="A824" s="2"/>
      <c r="B824" s="4"/>
      <c r="C824" s="4"/>
      <c r="D824" s="4"/>
      <c r="E824" s="4"/>
      <c r="F824" s="4"/>
      <c r="G824" s="6"/>
      <c r="H824" s="6"/>
      <c r="I824" s="6"/>
      <c r="J824" s="6"/>
      <c r="K824" s="6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>
      <c r="A825" s="2"/>
      <c r="B825" s="4"/>
      <c r="C825" s="4"/>
      <c r="D825" s="4"/>
      <c r="E825" s="4"/>
      <c r="F825" s="4"/>
      <c r="G825" s="6"/>
      <c r="H825" s="6"/>
      <c r="I825" s="6"/>
      <c r="J825" s="6"/>
      <c r="K825" s="6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>
      <c r="A826" s="2"/>
      <c r="B826" s="4"/>
      <c r="C826" s="4"/>
      <c r="D826" s="4"/>
      <c r="E826" s="4"/>
      <c r="F826" s="4"/>
      <c r="G826" s="6"/>
      <c r="H826" s="6"/>
      <c r="I826" s="6"/>
      <c r="J826" s="6"/>
      <c r="K826" s="6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>
      <c r="A827" s="2"/>
      <c r="B827" s="4"/>
      <c r="C827" s="4"/>
      <c r="D827" s="4"/>
      <c r="E827" s="4"/>
      <c r="F827" s="4"/>
      <c r="G827" s="6"/>
      <c r="H827" s="6"/>
      <c r="I827" s="6"/>
      <c r="J827" s="6"/>
      <c r="K827" s="6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>
      <c r="A828" s="2"/>
      <c r="B828" s="4"/>
      <c r="C828" s="4"/>
      <c r="D828" s="4"/>
      <c r="E828" s="4"/>
      <c r="F828" s="4"/>
      <c r="G828" s="6"/>
      <c r="H828" s="6"/>
      <c r="I828" s="6"/>
      <c r="J828" s="6"/>
      <c r="K828" s="6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>
      <c r="A829" s="2"/>
      <c r="B829" s="4"/>
      <c r="C829" s="4"/>
      <c r="D829" s="4"/>
      <c r="E829" s="4"/>
      <c r="F829" s="4"/>
      <c r="G829" s="6"/>
      <c r="H829" s="6"/>
      <c r="I829" s="6"/>
      <c r="J829" s="6"/>
      <c r="K829" s="6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>
      <c r="A830" s="2"/>
      <c r="B830" s="4"/>
      <c r="C830" s="4"/>
      <c r="D830" s="4"/>
      <c r="E830" s="4"/>
      <c r="F830" s="4"/>
      <c r="G830" s="6"/>
      <c r="H830" s="6"/>
      <c r="I830" s="6"/>
      <c r="J830" s="6"/>
      <c r="K830" s="6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>
      <c r="A831" s="2"/>
      <c r="B831" s="4"/>
      <c r="C831" s="4"/>
      <c r="D831" s="4"/>
      <c r="E831" s="4"/>
      <c r="F831" s="4"/>
      <c r="G831" s="6"/>
      <c r="H831" s="6"/>
      <c r="I831" s="6"/>
      <c r="J831" s="6"/>
      <c r="K831" s="6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>
      <c r="A832" s="2"/>
      <c r="B832" s="4"/>
      <c r="C832" s="4"/>
      <c r="D832" s="4"/>
      <c r="E832" s="4"/>
      <c r="F832" s="4"/>
      <c r="G832" s="6"/>
      <c r="H832" s="6"/>
      <c r="I832" s="6"/>
      <c r="J832" s="6"/>
      <c r="K832" s="6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>
      <c r="A833" s="2"/>
      <c r="B833" s="4"/>
      <c r="C833" s="4"/>
      <c r="D833" s="4"/>
      <c r="E833" s="4"/>
      <c r="F833" s="4"/>
      <c r="G833" s="6"/>
      <c r="H833" s="6"/>
      <c r="I833" s="6"/>
      <c r="J833" s="6"/>
      <c r="K833" s="6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>
      <c r="A834" s="2"/>
      <c r="B834" s="4"/>
      <c r="C834" s="4"/>
      <c r="D834" s="4"/>
      <c r="E834" s="4"/>
      <c r="F834" s="4"/>
      <c r="G834" s="6"/>
      <c r="H834" s="6"/>
      <c r="I834" s="6"/>
      <c r="J834" s="6"/>
      <c r="K834" s="6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>
      <c r="A835" s="2"/>
      <c r="B835" s="4"/>
      <c r="C835" s="4"/>
      <c r="D835" s="4"/>
      <c r="E835" s="4"/>
      <c r="F835" s="4"/>
      <c r="G835" s="6"/>
      <c r="H835" s="6"/>
      <c r="I835" s="6"/>
      <c r="J835" s="6"/>
      <c r="K835" s="6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>
      <c r="A836" s="2"/>
      <c r="B836" s="4"/>
      <c r="C836" s="4"/>
      <c r="D836" s="4"/>
      <c r="E836" s="4"/>
      <c r="F836" s="4"/>
      <c r="G836" s="6"/>
      <c r="H836" s="6"/>
      <c r="I836" s="6"/>
      <c r="J836" s="6"/>
      <c r="K836" s="6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>
      <c r="A837" s="2"/>
      <c r="B837" s="4"/>
      <c r="C837" s="4"/>
      <c r="D837" s="4"/>
      <c r="E837" s="4"/>
      <c r="F837" s="4"/>
      <c r="G837" s="6"/>
      <c r="H837" s="6"/>
      <c r="I837" s="6"/>
      <c r="J837" s="6"/>
      <c r="K837" s="6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>
      <c r="A838" s="2"/>
      <c r="B838" s="4"/>
      <c r="C838" s="4"/>
      <c r="D838" s="4"/>
      <c r="E838" s="4"/>
      <c r="F838" s="4"/>
      <c r="G838" s="6"/>
      <c r="H838" s="6"/>
      <c r="I838" s="6"/>
      <c r="J838" s="6"/>
      <c r="K838" s="6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>
      <c r="A839" s="2"/>
      <c r="B839" s="4"/>
      <c r="C839" s="4"/>
      <c r="D839" s="4"/>
      <c r="E839" s="4"/>
      <c r="F839" s="4"/>
      <c r="G839" s="6"/>
      <c r="H839" s="6"/>
      <c r="I839" s="6"/>
      <c r="J839" s="6"/>
      <c r="K839" s="6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>
      <c r="A840" s="2"/>
      <c r="B840" s="4"/>
      <c r="C840" s="4"/>
      <c r="D840" s="4"/>
      <c r="E840" s="4"/>
      <c r="F840" s="4"/>
      <c r="G840" s="6"/>
      <c r="H840" s="6"/>
      <c r="I840" s="6"/>
      <c r="J840" s="6"/>
      <c r="K840" s="6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>
      <c r="A841" s="2"/>
      <c r="B841" s="4"/>
      <c r="C841" s="4"/>
      <c r="D841" s="4"/>
      <c r="E841" s="4"/>
      <c r="F841" s="4"/>
      <c r="G841" s="6"/>
      <c r="H841" s="6"/>
      <c r="I841" s="6"/>
      <c r="J841" s="6"/>
      <c r="K841" s="6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>
      <c r="A842" s="2"/>
      <c r="B842" s="4"/>
      <c r="C842" s="4"/>
      <c r="D842" s="4"/>
      <c r="E842" s="4"/>
      <c r="F842" s="4"/>
      <c r="G842" s="6"/>
      <c r="H842" s="6"/>
      <c r="I842" s="6"/>
      <c r="J842" s="6"/>
      <c r="K842" s="6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>
      <c r="A843" s="2"/>
      <c r="B843" s="4"/>
      <c r="C843" s="4"/>
      <c r="D843" s="4"/>
      <c r="E843" s="4"/>
      <c r="F843" s="4"/>
      <c r="G843" s="6"/>
      <c r="H843" s="6"/>
      <c r="I843" s="6"/>
      <c r="J843" s="6"/>
      <c r="K843" s="6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>
      <c r="A844" s="2"/>
      <c r="B844" s="4"/>
      <c r="C844" s="4"/>
      <c r="D844" s="4"/>
      <c r="E844" s="4"/>
      <c r="F844" s="4"/>
      <c r="G844" s="6"/>
      <c r="H844" s="6"/>
      <c r="I844" s="6"/>
      <c r="J844" s="6"/>
      <c r="K844" s="6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>
      <c r="A845" s="2"/>
      <c r="B845" s="4"/>
      <c r="C845" s="4"/>
      <c r="D845" s="4"/>
      <c r="E845" s="4"/>
      <c r="F845" s="4"/>
      <c r="G845" s="6"/>
      <c r="H845" s="6"/>
      <c r="I845" s="6"/>
      <c r="J845" s="6"/>
      <c r="K845" s="6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>
      <c r="A846" s="2"/>
      <c r="B846" s="4"/>
      <c r="C846" s="4"/>
      <c r="D846" s="4"/>
      <c r="E846" s="4"/>
      <c r="F846" s="4"/>
      <c r="G846" s="6"/>
      <c r="H846" s="6"/>
      <c r="I846" s="6"/>
      <c r="J846" s="6"/>
      <c r="K846" s="6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>
      <c r="A847" s="2"/>
      <c r="B847" s="4"/>
      <c r="C847" s="4"/>
      <c r="D847" s="4"/>
      <c r="E847" s="4"/>
      <c r="F847" s="4"/>
      <c r="G847" s="6"/>
      <c r="H847" s="6"/>
      <c r="I847" s="6"/>
      <c r="J847" s="6"/>
      <c r="K847" s="6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>
      <c r="A848" s="2"/>
      <c r="B848" s="4"/>
      <c r="C848" s="4"/>
      <c r="D848" s="4"/>
      <c r="E848" s="4"/>
      <c r="F848" s="4"/>
      <c r="G848" s="6"/>
      <c r="H848" s="6"/>
      <c r="I848" s="6"/>
      <c r="J848" s="6"/>
      <c r="K848" s="6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>
      <c r="A849" s="2"/>
      <c r="B849" s="4"/>
      <c r="C849" s="4"/>
      <c r="D849" s="4"/>
      <c r="E849" s="4"/>
      <c r="F849" s="4"/>
      <c r="G849" s="6"/>
      <c r="H849" s="6"/>
      <c r="I849" s="6"/>
      <c r="J849" s="6"/>
      <c r="K849" s="6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>
      <c r="A850" s="2"/>
      <c r="B850" s="4"/>
      <c r="C850" s="4"/>
      <c r="D850" s="4"/>
      <c r="E850" s="4"/>
      <c r="F850" s="4"/>
      <c r="G850" s="6"/>
      <c r="H850" s="6"/>
      <c r="I850" s="6"/>
      <c r="J850" s="6"/>
      <c r="K850" s="6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>
      <c r="A851" s="2"/>
      <c r="B851" s="4"/>
      <c r="C851" s="4"/>
      <c r="D851" s="4"/>
      <c r="E851" s="4"/>
      <c r="F851" s="4"/>
      <c r="G851" s="6"/>
      <c r="H851" s="6"/>
      <c r="I851" s="6"/>
      <c r="J851" s="6"/>
      <c r="K851" s="6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>
      <c r="A852" s="2"/>
      <c r="B852" s="4"/>
      <c r="C852" s="4"/>
      <c r="D852" s="4"/>
      <c r="E852" s="4"/>
      <c r="F852" s="4"/>
      <c r="G852" s="6"/>
      <c r="H852" s="6"/>
      <c r="I852" s="6"/>
      <c r="J852" s="6"/>
      <c r="K852" s="6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>
      <c r="A853" s="2"/>
      <c r="B853" s="4"/>
      <c r="C853" s="4"/>
      <c r="D853" s="4"/>
      <c r="E853" s="4"/>
      <c r="F853" s="4"/>
      <c r="G853" s="6"/>
      <c r="H853" s="6"/>
      <c r="I853" s="6"/>
      <c r="J853" s="6"/>
      <c r="K853" s="6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>
      <c r="A854" s="2"/>
      <c r="B854" s="4"/>
      <c r="C854" s="4"/>
      <c r="D854" s="4"/>
      <c r="E854" s="4"/>
      <c r="F854" s="4"/>
      <c r="G854" s="6"/>
      <c r="H854" s="6"/>
      <c r="I854" s="6"/>
      <c r="J854" s="6"/>
      <c r="K854" s="6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>
      <c r="A855" s="2"/>
      <c r="B855" s="4"/>
      <c r="C855" s="4"/>
      <c r="D855" s="4"/>
      <c r="E855" s="4"/>
      <c r="F855" s="4"/>
      <c r="G855" s="6"/>
      <c r="H855" s="6"/>
      <c r="I855" s="6"/>
      <c r="J855" s="6"/>
      <c r="K855" s="6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>
      <c r="A856" s="2"/>
      <c r="B856" s="4"/>
      <c r="C856" s="4"/>
      <c r="D856" s="4"/>
      <c r="E856" s="4"/>
      <c r="F856" s="4"/>
      <c r="G856" s="6"/>
      <c r="H856" s="6"/>
      <c r="I856" s="6"/>
      <c r="J856" s="6"/>
      <c r="K856" s="6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>
      <c r="A857" s="2"/>
      <c r="B857" s="4"/>
      <c r="C857" s="4"/>
      <c r="D857" s="4"/>
      <c r="E857" s="4"/>
      <c r="F857" s="4"/>
      <c r="G857" s="6"/>
      <c r="H857" s="6"/>
      <c r="I857" s="6"/>
      <c r="J857" s="6"/>
      <c r="K857" s="6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>
      <c r="A858" s="2"/>
      <c r="B858" s="4"/>
      <c r="C858" s="4"/>
      <c r="D858" s="4"/>
      <c r="E858" s="4"/>
      <c r="F858" s="4"/>
      <c r="G858" s="6"/>
      <c r="H858" s="6"/>
      <c r="I858" s="6"/>
      <c r="J858" s="6"/>
      <c r="K858" s="6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>
      <c r="A859" s="2"/>
      <c r="B859" s="4"/>
      <c r="C859" s="4"/>
      <c r="D859" s="4"/>
      <c r="E859" s="4"/>
      <c r="F859" s="4"/>
      <c r="G859" s="6"/>
      <c r="H859" s="6"/>
      <c r="I859" s="6"/>
      <c r="J859" s="6"/>
      <c r="K859" s="6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>
      <c r="A860" s="2"/>
      <c r="B860" s="4"/>
      <c r="C860" s="4"/>
      <c r="D860" s="4"/>
      <c r="E860" s="4"/>
      <c r="F860" s="4"/>
      <c r="G860" s="6"/>
      <c r="H860" s="6"/>
      <c r="I860" s="6"/>
      <c r="J860" s="6"/>
      <c r="K860" s="6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2"/>
      <c r="B861" s="4"/>
      <c r="C861" s="4"/>
      <c r="D861" s="4"/>
      <c r="E861" s="4"/>
      <c r="F861" s="4"/>
      <c r="G861" s="6"/>
      <c r="H861" s="6"/>
      <c r="I861" s="6"/>
      <c r="J861" s="6"/>
      <c r="K861" s="6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2"/>
      <c r="B862" s="4"/>
      <c r="C862" s="4"/>
      <c r="D862" s="4"/>
      <c r="E862" s="4"/>
      <c r="F862" s="4"/>
      <c r="G862" s="6"/>
      <c r="H862" s="6"/>
      <c r="I862" s="6"/>
      <c r="J862" s="6"/>
      <c r="K862" s="6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2"/>
      <c r="B863" s="4"/>
      <c r="C863" s="4"/>
      <c r="D863" s="4"/>
      <c r="E863" s="4"/>
      <c r="F863" s="4"/>
      <c r="G863" s="6"/>
      <c r="H863" s="6"/>
      <c r="I863" s="6"/>
      <c r="J863" s="6"/>
      <c r="K863" s="6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2"/>
      <c r="B864" s="4"/>
      <c r="C864" s="4"/>
      <c r="D864" s="4"/>
      <c r="E864" s="4"/>
      <c r="F864" s="4"/>
      <c r="G864" s="6"/>
      <c r="H864" s="6"/>
      <c r="I864" s="6"/>
      <c r="J864" s="6"/>
      <c r="K864" s="6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2"/>
      <c r="B865" s="4"/>
      <c r="C865" s="4"/>
      <c r="D865" s="4"/>
      <c r="E865" s="4"/>
      <c r="F865" s="4"/>
      <c r="G865" s="6"/>
      <c r="H865" s="6"/>
      <c r="I865" s="6"/>
      <c r="J865" s="6"/>
      <c r="K865" s="6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2"/>
      <c r="B866" s="4"/>
      <c r="C866" s="4"/>
      <c r="D866" s="4"/>
      <c r="E866" s="4"/>
      <c r="F866" s="4"/>
      <c r="G866" s="6"/>
      <c r="H866" s="6"/>
      <c r="I866" s="6"/>
      <c r="J866" s="6"/>
      <c r="K866" s="6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2"/>
      <c r="B867" s="4"/>
      <c r="C867" s="4"/>
      <c r="D867" s="4"/>
      <c r="E867" s="4"/>
      <c r="F867" s="4"/>
      <c r="G867" s="6"/>
      <c r="H867" s="6"/>
      <c r="I867" s="6"/>
      <c r="J867" s="6"/>
      <c r="K867" s="6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2"/>
      <c r="B868" s="4"/>
      <c r="C868" s="4"/>
      <c r="D868" s="4"/>
      <c r="E868" s="4"/>
      <c r="F868" s="4"/>
      <c r="G868" s="6"/>
      <c r="H868" s="6"/>
      <c r="I868" s="6"/>
      <c r="J868" s="6"/>
      <c r="K868" s="6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2"/>
      <c r="B869" s="4"/>
      <c r="C869" s="4"/>
      <c r="D869" s="4"/>
      <c r="E869" s="4"/>
      <c r="F869" s="4"/>
      <c r="G869" s="6"/>
      <c r="H869" s="6"/>
      <c r="I869" s="6"/>
      <c r="J869" s="6"/>
      <c r="K869" s="6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2"/>
      <c r="B870" s="4"/>
      <c r="C870" s="4"/>
      <c r="D870" s="4"/>
      <c r="E870" s="4"/>
      <c r="F870" s="4"/>
      <c r="G870" s="6"/>
      <c r="H870" s="6"/>
      <c r="I870" s="6"/>
      <c r="J870" s="6"/>
      <c r="K870" s="6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2"/>
      <c r="B871" s="4"/>
      <c r="C871" s="4"/>
      <c r="D871" s="4"/>
      <c r="E871" s="4"/>
      <c r="F871" s="4"/>
      <c r="G871" s="6"/>
      <c r="H871" s="6"/>
      <c r="I871" s="6"/>
      <c r="J871" s="6"/>
      <c r="K871" s="6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2"/>
      <c r="B872" s="4"/>
      <c r="C872" s="4"/>
      <c r="D872" s="4"/>
      <c r="E872" s="4"/>
      <c r="F872" s="4"/>
      <c r="G872" s="6"/>
      <c r="H872" s="6"/>
      <c r="I872" s="6"/>
      <c r="J872" s="6"/>
      <c r="K872" s="6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2"/>
      <c r="B873" s="4"/>
      <c r="C873" s="4"/>
      <c r="D873" s="4"/>
      <c r="E873" s="4"/>
      <c r="F873" s="4"/>
      <c r="G873" s="6"/>
      <c r="H873" s="6"/>
      <c r="I873" s="6"/>
      <c r="J873" s="6"/>
      <c r="K873" s="6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2"/>
      <c r="B874" s="4"/>
      <c r="C874" s="4"/>
      <c r="D874" s="4"/>
      <c r="E874" s="4"/>
      <c r="F874" s="4"/>
      <c r="G874" s="6"/>
      <c r="H874" s="6"/>
      <c r="I874" s="6"/>
      <c r="J874" s="6"/>
      <c r="K874" s="6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2"/>
      <c r="B875" s="4"/>
      <c r="C875" s="4"/>
      <c r="D875" s="4"/>
      <c r="E875" s="4"/>
      <c r="F875" s="4"/>
      <c r="G875" s="6"/>
      <c r="H875" s="6"/>
      <c r="I875" s="6"/>
      <c r="J875" s="6"/>
      <c r="K875" s="6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2"/>
      <c r="B876" s="4"/>
      <c r="C876" s="4"/>
      <c r="D876" s="4"/>
      <c r="E876" s="4"/>
      <c r="F876" s="4"/>
      <c r="G876" s="6"/>
      <c r="H876" s="6"/>
      <c r="I876" s="6"/>
      <c r="J876" s="6"/>
      <c r="K876" s="6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2"/>
      <c r="B877" s="4"/>
      <c r="C877" s="4"/>
      <c r="D877" s="4"/>
      <c r="E877" s="4"/>
      <c r="F877" s="4"/>
      <c r="G877" s="6"/>
      <c r="H877" s="6"/>
      <c r="I877" s="6"/>
      <c r="J877" s="6"/>
      <c r="K877" s="6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2"/>
      <c r="B878" s="4"/>
      <c r="C878" s="4"/>
      <c r="D878" s="4"/>
      <c r="E878" s="4"/>
      <c r="F878" s="4"/>
      <c r="G878" s="6"/>
      <c r="H878" s="6"/>
      <c r="I878" s="6"/>
      <c r="J878" s="6"/>
      <c r="K878" s="6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2"/>
      <c r="B879" s="4"/>
      <c r="C879" s="4"/>
      <c r="D879" s="4"/>
      <c r="E879" s="4"/>
      <c r="F879" s="4"/>
      <c r="G879" s="6"/>
      <c r="H879" s="6"/>
      <c r="I879" s="6"/>
      <c r="J879" s="6"/>
      <c r="K879" s="6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2"/>
      <c r="B880" s="4"/>
      <c r="C880" s="4"/>
      <c r="D880" s="4"/>
      <c r="E880" s="4"/>
      <c r="F880" s="4"/>
      <c r="G880" s="6"/>
      <c r="H880" s="6"/>
      <c r="I880" s="6"/>
      <c r="J880" s="6"/>
      <c r="K880" s="6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2"/>
      <c r="B881" s="4"/>
      <c r="C881" s="4"/>
      <c r="D881" s="4"/>
      <c r="E881" s="4"/>
      <c r="F881" s="4"/>
      <c r="G881" s="6"/>
      <c r="H881" s="6"/>
      <c r="I881" s="6"/>
      <c r="J881" s="6"/>
      <c r="K881" s="6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2"/>
      <c r="B882" s="4"/>
      <c r="C882" s="4"/>
      <c r="D882" s="4"/>
      <c r="E882" s="4"/>
      <c r="F882" s="4"/>
      <c r="G882" s="6"/>
      <c r="H882" s="6"/>
      <c r="I882" s="6"/>
      <c r="J882" s="6"/>
      <c r="K882" s="6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2"/>
      <c r="B883" s="4"/>
      <c r="C883" s="4"/>
      <c r="D883" s="4"/>
      <c r="E883" s="4"/>
      <c r="F883" s="4"/>
      <c r="G883" s="6"/>
      <c r="H883" s="6"/>
      <c r="I883" s="6"/>
      <c r="J883" s="6"/>
      <c r="K883" s="6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2"/>
      <c r="B884" s="4"/>
      <c r="C884" s="4"/>
      <c r="D884" s="4"/>
      <c r="E884" s="4"/>
      <c r="F884" s="4"/>
      <c r="G884" s="6"/>
      <c r="H884" s="6"/>
      <c r="I884" s="6"/>
      <c r="J884" s="6"/>
      <c r="K884" s="6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2"/>
      <c r="B885" s="4"/>
      <c r="C885" s="4"/>
      <c r="D885" s="4"/>
      <c r="E885" s="4"/>
      <c r="F885" s="4"/>
      <c r="G885" s="6"/>
      <c r="H885" s="6"/>
      <c r="I885" s="6"/>
      <c r="J885" s="6"/>
      <c r="K885" s="6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2"/>
      <c r="B886" s="4"/>
      <c r="C886" s="4"/>
      <c r="D886" s="4"/>
      <c r="E886" s="4"/>
      <c r="F886" s="4"/>
      <c r="G886" s="6"/>
      <c r="H886" s="6"/>
      <c r="I886" s="6"/>
      <c r="J886" s="6"/>
      <c r="K886" s="6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2"/>
      <c r="B887" s="4"/>
      <c r="C887" s="4"/>
      <c r="D887" s="4"/>
      <c r="E887" s="4"/>
      <c r="F887" s="4"/>
      <c r="G887" s="6"/>
      <c r="H887" s="6"/>
      <c r="I887" s="6"/>
      <c r="J887" s="6"/>
      <c r="K887" s="6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2"/>
      <c r="B888" s="4"/>
      <c r="C888" s="4"/>
      <c r="D888" s="4"/>
      <c r="E888" s="4"/>
      <c r="F888" s="4"/>
      <c r="G888" s="6"/>
      <c r="H888" s="6"/>
      <c r="I888" s="6"/>
      <c r="J888" s="6"/>
      <c r="K888" s="6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2"/>
      <c r="B889" s="4"/>
      <c r="C889" s="4"/>
      <c r="D889" s="4"/>
      <c r="E889" s="4"/>
      <c r="F889" s="4"/>
      <c r="G889" s="6"/>
      <c r="H889" s="6"/>
      <c r="I889" s="6"/>
      <c r="J889" s="6"/>
      <c r="K889" s="6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2"/>
      <c r="B890" s="4"/>
      <c r="C890" s="4"/>
      <c r="D890" s="4"/>
      <c r="E890" s="4"/>
      <c r="F890" s="4"/>
      <c r="G890" s="6"/>
      <c r="H890" s="6"/>
      <c r="I890" s="6"/>
      <c r="J890" s="6"/>
      <c r="K890" s="6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2"/>
      <c r="B891" s="4"/>
      <c r="C891" s="4"/>
      <c r="D891" s="4"/>
      <c r="E891" s="4"/>
      <c r="F891" s="4"/>
      <c r="G891" s="6"/>
      <c r="H891" s="6"/>
      <c r="I891" s="6"/>
      <c r="J891" s="6"/>
      <c r="K891" s="6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2"/>
      <c r="B892" s="4"/>
      <c r="C892" s="4"/>
      <c r="D892" s="4"/>
      <c r="E892" s="4"/>
      <c r="F892" s="4"/>
      <c r="G892" s="6"/>
      <c r="H892" s="6"/>
      <c r="I892" s="6"/>
      <c r="J892" s="6"/>
      <c r="K892" s="6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2"/>
      <c r="B893" s="4"/>
      <c r="C893" s="4"/>
      <c r="D893" s="4"/>
      <c r="E893" s="4"/>
      <c r="F893" s="4"/>
      <c r="G893" s="6"/>
      <c r="H893" s="6"/>
      <c r="I893" s="6"/>
      <c r="J893" s="6"/>
      <c r="K893" s="6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2"/>
      <c r="B894" s="4"/>
      <c r="C894" s="4"/>
      <c r="D894" s="4"/>
      <c r="E894" s="4"/>
      <c r="F894" s="4"/>
      <c r="G894" s="6"/>
      <c r="H894" s="6"/>
      <c r="I894" s="6"/>
      <c r="J894" s="6"/>
      <c r="K894" s="6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2"/>
      <c r="B895" s="4"/>
      <c r="C895" s="4"/>
      <c r="D895" s="4"/>
      <c r="E895" s="4"/>
      <c r="F895" s="4"/>
      <c r="G895" s="6"/>
      <c r="H895" s="6"/>
      <c r="I895" s="6"/>
      <c r="J895" s="6"/>
      <c r="K895" s="6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2"/>
      <c r="B896" s="4"/>
      <c r="C896" s="4"/>
      <c r="D896" s="4"/>
      <c r="E896" s="4"/>
      <c r="F896" s="4"/>
      <c r="G896" s="6"/>
      <c r="H896" s="6"/>
      <c r="I896" s="6"/>
      <c r="J896" s="6"/>
      <c r="K896" s="6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2"/>
      <c r="B897" s="4"/>
      <c r="C897" s="4"/>
      <c r="D897" s="4"/>
      <c r="E897" s="4"/>
      <c r="F897" s="4"/>
      <c r="G897" s="6"/>
      <c r="H897" s="6"/>
      <c r="I897" s="6"/>
      <c r="J897" s="6"/>
      <c r="K897" s="6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2"/>
      <c r="B898" s="4"/>
      <c r="C898" s="4"/>
      <c r="D898" s="4"/>
      <c r="E898" s="4"/>
      <c r="F898" s="4"/>
      <c r="G898" s="6"/>
      <c r="H898" s="6"/>
      <c r="I898" s="6"/>
      <c r="J898" s="6"/>
      <c r="K898" s="6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2"/>
      <c r="B899" s="4"/>
      <c r="C899" s="4"/>
      <c r="D899" s="4"/>
      <c r="E899" s="4"/>
      <c r="F899" s="4"/>
      <c r="G899" s="6"/>
      <c r="H899" s="6"/>
      <c r="I899" s="6"/>
      <c r="J899" s="6"/>
      <c r="K899" s="6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2"/>
      <c r="B900" s="4"/>
      <c r="C900" s="4"/>
      <c r="D900" s="4"/>
      <c r="E900" s="4"/>
      <c r="F900" s="4"/>
      <c r="G900" s="6"/>
      <c r="H900" s="6"/>
      <c r="I900" s="6"/>
      <c r="J900" s="6"/>
      <c r="K900" s="6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2"/>
      <c r="B901" s="4"/>
      <c r="C901" s="4"/>
      <c r="D901" s="4"/>
      <c r="E901" s="4"/>
      <c r="F901" s="4"/>
      <c r="G901" s="6"/>
      <c r="H901" s="6"/>
      <c r="I901" s="6"/>
      <c r="J901" s="6"/>
      <c r="K901" s="6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2"/>
      <c r="B902" s="4"/>
      <c r="C902" s="4"/>
      <c r="D902" s="4"/>
      <c r="E902" s="4"/>
      <c r="F902" s="4"/>
      <c r="G902" s="6"/>
      <c r="H902" s="6"/>
      <c r="I902" s="6"/>
      <c r="J902" s="6"/>
      <c r="K902" s="6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2"/>
      <c r="B903" s="4"/>
      <c r="C903" s="4"/>
      <c r="D903" s="4"/>
      <c r="E903" s="4"/>
      <c r="F903" s="4"/>
      <c r="G903" s="6"/>
      <c r="H903" s="6"/>
      <c r="I903" s="6"/>
      <c r="J903" s="6"/>
      <c r="K903" s="6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2"/>
      <c r="B904" s="4"/>
      <c r="C904" s="4"/>
      <c r="D904" s="4"/>
      <c r="E904" s="4"/>
      <c r="F904" s="4"/>
      <c r="G904" s="6"/>
      <c r="H904" s="6"/>
      <c r="I904" s="6"/>
      <c r="J904" s="6"/>
      <c r="K904" s="6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2"/>
      <c r="B905" s="4"/>
      <c r="C905" s="4"/>
      <c r="D905" s="4"/>
      <c r="E905" s="4"/>
      <c r="F905" s="4"/>
      <c r="G905" s="6"/>
      <c r="H905" s="6"/>
      <c r="I905" s="6"/>
      <c r="J905" s="6"/>
      <c r="K905" s="6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2"/>
      <c r="B906" s="4"/>
      <c r="C906" s="4"/>
      <c r="D906" s="4"/>
      <c r="E906" s="4"/>
      <c r="F906" s="4"/>
      <c r="G906" s="6"/>
      <c r="H906" s="6"/>
      <c r="I906" s="6"/>
      <c r="J906" s="6"/>
      <c r="K906" s="6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2"/>
      <c r="B907" s="4"/>
      <c r="C907" s="4"/>
      <c r="D907" s="4"/>
      <c r="E907" s="4"/>
      <c r="F907" s="4"/>
      <c r="G907" s="6"/>
      <c r="H907" s="6"/>
      <c r="I907" s="6"/>
      <c r="J907" s="6"/>
      <c r="K907" s="6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2"/>
      <c r="B908" s="4"/>
      <c r="C908" s="4"/>
      <c r="D908" s="4"/>
      <c r="E908" s="4"/>
      <c r="F908" s="4"/>
      <c r="G908" s="6"/>
      <c r="H908" s="6"/>
      <c r="I908" s="6"/>
      <c r="J908" s="6"/>
      <c r="K908" s="6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2"/>
      <c r="B909" s="4"/>
      <c r="C909" s="4"/>
      <c r="D909" s="4"/>
      <c r="E909" s="4"/>
      <c r="F909" s="4"/>
      <c r="G909" s="6"/>
      <c r="H909" s="6"/>
      <c r="I909" s="6"/>
      <c r="J909" s="6"/>
      <c r="K909" s="6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2"/>
      <c r="B910" s="4"/>
      <c r="C910" s="4"/>
      <c r="D910" s="4"/>
      <c r="E910" s="4"/>
      <c r="F910" s="4"/>
      <c r="G910" s="6"/>
      <c r="H910" s="6"/>
      <c r="I910" s="6"/>
      <c r="J910" s="6"/>
      <c r="K910" s="6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2"/>
      <c r="B911" s="4"/>
      <c r="C911" s="4"/>
      <c r="D911" s="4"/>
      <c r="E911" s="4"/>
      <c r="F911" s="4"/>
      <c r="G911" s="6"/>
      <c r="H911" s="6"/>
      <c r="I911" s="6"/>
      <c r="J911" s="6"/>
      <c r="K911" s="6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2"/>
      <c r="B912" s="4"/>
      <c r="C912" s="4"/>
      <c r="D912" s="4"/>
      <c r="E912" s="4"/>
      <c r="F912" s="4"/>
      <c r="G912" s="6"/>
      <c r="H912" s="6"/>
      <c r="I912" s="6"/>
      <c r="J912" s="6"/>
      <c r="K912" s="6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2"/>
      <c r="B913" s="4"/>
      <c r="C913" s="4"/>
      <c r="D913" s="4"/>
      <c r="E913" s="4"/>
      <c r="F913" s="4"/>
      <c r="G913" s="6"/>
      <c r="H913" s="6"/>
      <c r="I913" s="6"/>
      <c r="J913" s="6"/>
      <c r="K913" s="6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2"/>
      <c r="B914" s="4"/>
      <c r="C914" s="4"/>
      <c r="D914" s="4"/>
      <c r="E914" s="4"/>
      <c r="F914" s="4"/>
      <c r="G914" s="6"/>
      <c r="H914" s="6"/>
      <c r="I914" s="6"/>
      <c r="J914" s="6"/>
      <c r="K914" s="6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2"/>
      <c r="B915" s="4"/>
      <c r="C915" s="4"/>
      <c r="D915" s="4"/>
      <c r="E915" s="4"/>
      <c r="F915" s="4"/>
      <c r="G915" s="6"/>
      <c r="H915" s="6"/>
      <c r="I915" s="6"/>
      <c r="J915" s="6"/>
      <c r="K915" s="6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2"/>
      <c r="B916" s="4"/>
      <c r="C916" s="4"/>
      <c r="D916" s="4"/>
      <c r="E916" s="4"/>
      <c r="F916" s="4"/>
      <c r="G916" s="6"/>
      <c r="H916" s="6"/>
      <c r="I916" s="6"/>
      <c r="J916" s="6"/>
      <c r="K916" s="6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2"/>
      <c r="B917" s="4"/>
      <c r="C917" s="4"/>
      <c r="D917" s="4"/>
      <c r="E917" s="4"/>
      <c r="F917" s="4"/>
      <c r="G917" s="6"/>
      <c r="H917" s="6"/>
      <c r="I917" s="6"/>
      <c r="J917" s="6"/>
      <c r="K917" s="6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2"/>
      <c r="B918" s="4"/>
      <c r="C918" s="4"/>
      <c r="D918" s="4"/>
      <c r="E918" s="4"/>
      <c r="F918" s="4"/>
      <c r="G918" s="6"/>
      <c r="H918" s="6"/>
      <c r="I918" s="6"/>
      <c r="J918" s="6"/>
      <c r="K918" s="6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2"/>
      <c r="B919" s="4"/>
      <c r="C919" s="4"/>
      <c r="D919" s="4"/>
      <c r="E919" s="4"/>
      <c r="F919" s="4"/>
      <c r="G919" s="6"/>
      <c r="H919" s="6"/>
      <c r="I919" s="6"/>
      <c r="J919" s="6"/>
      <c r="K919" s="6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2"/>
      <c r="B920" s="4"/>
      <c r="C920" s="4"/>
      <c r="D920" s="4"/>
      <c r="E920" s="4"/>
      <c r="F920" s="4"/>
      <c r="G920" s="6"/>
      <c r="H920" s="6"/>
      <c r="I920" s="6"/>
      <c r="J920" s="6"/>
      <c r="K920" s="6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2"/>
      <c r="B921" s="4"/>
      <c r="C921" s="4"/>
      <c r="D921" s="4"/>
      <c r="E921" s="4"/>
      <c r="F921" s="4"/>
      <c r="G921" s="6"/>
      <c r="H921" s="6"/>
      <c r="I921" s="6"/>
      <c r="J921" s="6"/>
      <c r="K921" s="6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B922" s="138"/>
      <c r="C922" s="138"/>
      <c r="D922" s="138"/>
      <c r="E922" s="138"/>
      <c r="F922" s="138"/>
      <c r="G922" s="139"/>
      <c r="H922" s="139"/>
      <c r="I922" s="139"/>
      <c r="J922" s="139"/>
      <c r="K922" s="139"/>
    </row>
    <row r="923">
      <c r="B923" s="138"/>
      <c r="C923" s="138"/>
      <c r="D923" s="138"/>
      <c r="E923" s="138"/>
      <c r="F923" s="138"/>
      <c r="G923" s="139"/>
      <c r="H923" s="139"/>
      <c r="I923" s="139"/>
      <c r="J923" s="139"/>
      <c r="K923" s="139"/>
    </row>
    <row r="924">
      <c r="B924" s="138"/>
      <c r="C924" s="138"/>
      <c r="D924" s="138"/>
      <c r="E924" s="138"/>
      <c r="F924" s="138"/>
      <c r="G924" s="139"/>
      <c r="H924" s="139"/>
      <c r="I924" s="139"/>
      <c r="J924" s="139"/>
      <c r="K924" s="139"/>
    </row>
    <row r="925">
      <c r="B925" s="138"/>
      <c r="C925" s="138"/>
      <c r="D925" s="138"/>
      <c r="E925" s="138"/>
      <c r="F925" s="138"/>
      <c r="G925" s="139"/>
      <c r="H925" s="139"/>
      <c r="I925" s="139"/>
      <c r="J925" s="139"/>
      <c r="K925" s="139"/>
    </row>
    <row r="926">
      <c r="B926" s="138"/>
      <c r="C926" s="138"/>
      <c r="D926" s="138"/>
      <c r="E926" s="138"/>
      <c r="F926" s="138"/>
      <c r="G926" s="139"/>
      <c r="H926" s="139"/>
      <c r="I926" s="139"/>
      <c r="J926" s="139"/>
      <c r="K926" s="139"/>
    </row>
    <row r="927">
      <c r="B927" s="138"/>
      <c r="C927" s="138"/>
      <c r="D927" s="138"/>
      <c r="E927" s="138"/>
      <c r="F927" s="138"/>
      <c r="G927" s="139"/>
      <c r="H927" s="139"/>
      <c r="I927" s="139"/>
      <c r="J927" s="139"/>
      <c r="K927" s="139"/>
    </row>
    <row r="928">
      <c r="B928" s="138"/>
      <c r="C928" s="138"/>
      <c r="D928" s="138"/>
      <c r="E928" s="138"/>
      <c r="F928" s="138"/>
      <c r="G928" s="139"/>
      <c r="H928" s="139"/>
      <c r="I928" s="139"/>
      <c r="J928" s="139"/>
      <c r="K928" s="139"/>
    </row>
    <row r="929">
      <c r="B929" s="138"/>
      <c r="C929" s="138"/>
      <c r="D929" s="138"/>
      <c r="E929" s="138"/>
      <c r="F929" s="138"/>
      <c r="G929" s="139"/>
      <c r="H929" s="139"/>
      <c r="I929" s="139"/>
      <c r="J929" s="139"/>
      <c r="K929" s="139"/>
    </row>
    <row r="930">
      <c r="B930" s="138"/>
      <c r="C930" s="138"/>
      <c r="D930" s="138"/>
      <c r="E930" s="138"/>
      <c r="F930" s="138"/>
      <c r="G930" s="139"/>
      <c r="H930" s="139"/>
      <c r="I930" s="139"/>
      <c r="J930" s="139"/>
      <c r="K930" s="139"/>
    </row>
    <row r="931">
      <c r="B931" s="138"/>
      <c r="C931" s="138"/>
      <c r="D931" s="138"/>
      <c r="E931" s="138"/>
      <c r="F931" s="138"/>
      <c r="G931" s="139"/>
      <c r="H931" s="139"/>
      <c r="I931" s="139"/>
      <c r="J931" s="139"/>
      <c r="K931" s="139"/>
    </row>
    <row r="932">
      <c r="B932" s="138"/>
      <c r="C932" s="138"/>
      <c r="D932" s="138"/>
      <c r="E932" s="138"/>
      <c r="F932" s="138"/>
      <c r="G932" s="139"/>
      <c r="H932" s="139"/>
      <c r="I932" s="139"/>
      <c r="J932" s="139"/>
      <c r="K932" s="139"/>
    </row>
    <row r="933">
      <c r="B933" s="138"/>
      <c r="C933" s="138"/>
      <c r="D933" s="138"/>
      <c r="E933" s="138"/>
      <c r="F933" s="138"/>
      <c r="G933" s="139"/>
      <c r="H933" s="139"/>
      <c r="I933" s="139"/>
      <c r="J933" s="139"/>
      <c r="K933" s="139"/>
    </row>
    <row r="934">
      <c r="B934" s="138"/>
      <c r="C934" s="138"/>
      <c r="D934" s="138"/>
      <c r="E934" s="138"/>
      <c r="F934" s="138"/>
      <c r="G934" s="139"/>
      <c r="H934" s="139"/>
      <c r="I934" s="139"/>
      <c r="J934" s="139"/>
      <c r="K934" s="139"/>
    </row>
    <row r="935">
      <c r="B935" s="138"/>
      <c r="C935" s="138"/>
      <c r="D935" s="138"/>
      <c r="E935" s="138"/>
      <c r="F935" s="138"/>
      <c r="G935" s="139"/>
      <c r="H935" s="139"/>
      <c r="I935" s="139"/>
      <c r="J935" s="139"/>
      <c r="K935" s="139"/>
    </row>
    <row r="936">
      <c r="B936" s="138"/>
      <c r="C936" s="138"/>
      <c r="D936" s="138"/>
      <c r="E936" s="138"/>
      <c r="F936" s="138"/>
      <c r="G936" s="139"/>
      <c r="H936" s="139"/>
      <c r="I936" s="139"/>
      <c r="J936" s="139"/>
      <c r="K936" s="139"/>
    </row>
    <row r="937">
      <c r="B937" s="138"/>
      <c r="C937" s="138"/>
      <c r="D937" s="138"/>
      <c r="E937" s="138"/>
      <c r="F937" s="138"/>
      <c r="G937" s="139"/>
      <c r="H937" s="139"/>
      <c r="I937" s="139"/>
      <c r="J937" s="139"/>
      <c r="K937" s="139"/>
    </row>
    <row r="938">
      <c r="B938" s="138"/>
      <c r="C938" s="138"/>
      <c r="D938" s="138"/>
      <c r="E938" s="138"/>
      <c r="F938" s="138"/>
      <c r="G938" s="139"/>
      <c r="H938" s="139"/>
      <c r="I938" s="139"/>
      <c r="J938" s="139"/>
      <c r="K938" s="139"/>
    </row>
    <row r="939">
      <c r="B939" s="138"/>
      <c r="C939" s="138"/>
      <c r="D939" s="138"/>
      <c r="E939" s="138"/>
      <c r="F939" s="138"/>
      <c r="G939" s="139"/>
      <c r="H939" s="139"/>
      <c r="I939" s="139"/>
      <c r="J939" s="139"/>
      <c r="K939" s="139"/>
    </row>
    <row r="940">
      <c r="B940" s="138"/>
      <c r="C940" s="138"/>
      <c r="D940" s="138"/>
      <c r="E940" s="138"/>
      <c r="F940" s="138"/>
      <c r="G940" s="139"/>
      <c r="H940" s="139"/>
      <c r="I940" s="139"/>
      <c r="J940" s="139"/>
      <c r="K940" s="139"/>
    </row>
    <row r="941">
      <c r="B941" s="138"/>
      <c r="C941" s="138"/>
      <c r="D941" s="138"/>
      <c r="E941" s="138"/>
      <c r="F941" s="138"/>
      <c r="G941" s="139"/>
      <c r="H941" s="139"/>
      <c r="I941" s="139"/>
      <c r="J941" s="139"/>
      <c r="K941" s="139"/>
    </row>
    <row r="942">
      <c r="B942" s="138"/>
      <c r="C942" s="138"/>
      <c r="D942" s="138"/>
      <c r="E942" s="138"/>
      <c r="F942" s="138"/>
      <c r="G942" s="139"/>
      <c r="H942" s="139"/>
      <c r="I942" s="139"/>
      <c r="J942" s="139"/>
      <c r="K942" s="139"/>
    </row>
    <row r="943">
      <c r="B943" s="138"/>
      <c r="C943" s="138"/>
      <c r="D943" s="138"/>
      <c r="E943" s="138"/>
      <c r="F943" s="138"/>
      <c r="G943" s="139"/>
      <c r="H943" s="139"/>
      <c r="I943" s="139"/>
      <c r="J943" s="139"/>
      <c r="K943" s="139"/>
    </row>
    <row r="944">
      <c r="B944" s="138"/>
      <c r="C944" s="138"/>
      <c r="D944" s="138"/>
      <c r="E944" s="138"/>
      <c r="F944" s="138"/>
      <c r="G944" s="139"/>
      <c r="H944" s="139"/>
      <c r="I944" s="139"/>
      <c r="J944" s="139"/>
      <c r="K944" s="139"/>
    </row>
    <row r="945">
      <c r="B945" s="138"/>
      <c r="C945" s="138"/>
      <c r="D945" s="138"/>
      <c r="E945" s="138"/>
      <c r="F945" s="138"/>
      <c r="G945" s="139"/>
      <c r="H945" s="139"/>
      <c r="I945" s="139"/>
      <c r="J945" s="139"/>
      <c r="K945" s="139"/>
    </row>
    <row r="946">
      <c r="B946" s="138"/>
      <c r="C946" s="138"/>
      <c r="D946" s="138"/>
      <c r="E946" s="138"/>
      <c r="F946" s="138"/>
      <c r="G946" s="139"/>
      <c r="H946" s="139"/>
      <c r="I946" s="139"/>
      <c r="J946" s="139"/>
      <c r="K946" s="139"/>
    </row>
    <row r="947">
      <c r="B947" s="138"/>
      <c r="C947" s="138"/>
      <c r="D947" s="138"/>
      <c r="E947" s="138"/>
      <c r="F947" s="138"/>
      <c r="G947" s="139"/>
      <c r="H947" s="139"/>
      <c r="I947" s="139"/>
      <c r="J947" s="139"/>
      <c r="K947" s="139"/>
    </row>
    <row r="948">
      <c r="B948" s="138"/>
      <c r="C948" s="138"/>
      <c r="D948" s="138"/>
      <c r="E948" s="138"/>
      <c r="F948" s="138"/>
      <c r="G948" s="139"/>
      <c r="H948" s="139"/>
      <c r="I948" s="139"/>
      <c r="J948" s="139"/>
      <c r="K948" s="139"/>
    </row>
    <row r="949">
      <c r="B949" s="138"/>
      <c r="C949" s="138"/>
      <c r="D949" s="138"/>
      <c r="E949" s="138"/>
      <c r="F949" s="138"/>
      <c r="G949" s="139"/>
      <c r="H949" s="139"/>
      <c r="I949" s="139"/>
      <c r="J949" s="139"/>
      <c r="K949" s="139"/>
    </row>
    <row r="950">
      <c r="B950" s="138"/>
      <c r="C950" s="138"/>
      <c r="D950" s="138"/>
      <c r="E950" s="138"/>
      <c r="F950" s="138"/>
      <c r="G950" s="139"/>
      <c r="H950" s="139"/>
      <c r="I950" s="139"/>
      <c r="J950" s="139"/>
      <c r="K950" s="139"/>
    </row>
    <row r="951">
      <c r="B951" s="138"/>
      <c r="C951" s="138"/>
      <c r="D951" s="138"/>
      <c r="E951" s="138"/>
      <c r="F951" s="138"/>
      <c r="G951" s="139"/>
      <c r="H951" s="139"/>
      <c r="I951" s="139"/>
      <c r="J951" s="139"/>
      <c r="K951" s="139"/>
    </row>
    <row r="952">
      <c r="B952" s="138"/>
      <c r="C952" s="138"/>
      <c r="D952" s="138"/>
      <c r="E952" s="138"/>
      <c r="F952" s="138"/>
      <c r="G952" s="139"/>
      <c r="H952" s="139"/>
      <c r="I952" s="139"/>
      <c r="J952" s="139"/>
      <c r="K952" s="139"/>
    </row>
    <row r="953">
      <c r="B953" s="138"/>
      <c r="C953" s="138"/>
      <c r="D953" s="138"/>
      <c r="E953" s="138"/>
      <c r="F953" s="138"/>
      <c r="G953" s="139"/>
      <c r="H953" s="139"/>
      <c r="I953" s="139"/>
      <c r="J953" s="139"/>
      <c r="K953" s="139"/>
    </row>
    <row r="954">
      <c r="B954" s="138"/>
      <c r="C954" s="138"/>
      <c r="D954" s="138"/>
      <c r="E954" s="138"/>
      <c r="F954" s="138"/>
      <c r="G954" s="139"/>
      <c r="H954" s="139"/>
      <c r="I954" s="139"/>
      <c r="J954" s="139"/>
      <c r="K954" s="139"/>
    </row>
    <row r="955">
      <c r="B955" s="138"/>
      <c r="C955" s="138"/>
      <c r="D955" s="138"/>
      <c r="E955" s="138"/>
      <c r="F955" s="138"/>
      <c r="G955" s="139"/>
      <c r="H955" s="139"/>
      <c r="I955" s="139"/>
      <c r="J955" s="139"/>
      <c r="K955" s="139"/>
    </row>
    <row r="956">
      <c r="B956" s="138"/>
      <c r="C956" s="138"/>
      <c r="D956" s="138"/>
      <c r="E956" s="138"/>
      <c r="F956" s="138"/>
      <c r="G956" s="139"/>
      <c r="H956" s="139"/>
      <c r="I956" s="139"/>
      <c r="J956" s="139"/>
      <c r="K956" s="139"/>
    </row>
    <row r="957">
      <c r="B957" s="138"/>
      <c r="C957" s="138"/>
      <c r="D957" s="138"/>
      <c r="E957" s="138"/>
      <c r="F957" s="138"/>
      <c r="G957" s="139"/>
      <c r="H957" s="139"/>
      <c r="I957" s="139"/>
      <c r="J957" s="139"/>
      <c r="K957" s="139"/>
    </row>
    <row r="958">
      <c r="B958" s="138"/>
      <c r="C958" s="138"/>
      <c r="D958" s="138"/>
      <c r="E958" s="138"/>
      <c r="F958" s="138"/>
      <c r="G958" s="139"/>
      <c r="H958" s="139"/>
      <c r="I958" s="139"/>
      <c r="J958" s="139"/>
      <c r="K958" s="139"/>
    </row>
    <row r="959">
      <c r="B959" s="138"/>
      <c r="C959" s="138"/>
      <c r="D959" s="138"/>
      <c r="E959" s="138"/>
      <c r="F959" s="138"/>
      <c r="G959" s="139"/>
      <c r="H959" s="139"/>
      <c r="I959" s="139"/>
      <c r="J959" s="139"/>
      <c r="K959" s="139"/>
    </row>
    <row r="960">
      <c r="B960" s="138"/>
      <c r="C960" s="138"/>
      <c r="D960" s="138"/>
      <c r="E960" s="138"/>
      <c r="F960" s="138"/>
      <c r="G960" s="139"/>
      <c r="H960" s="139"/>
      <c r="I960" s="139"/>
      <c r="J960" s="139"/>
      <c r="K960" s="139"/>
    </row>
    <row r="961">
      <c r="B961" s="138"/>
      <c r="C961" s="138"/>
      <c r="D961" s="138"/>
      <c r="E961" s="138"/>
      <c r="F961" s="138"/>
      <c r="G961" s="139"/>
      <c r="H961" s="139"/>
      <c r="I961" s="139"/>
      <c r="J961" s="139"/>
      <c r="K961" s="139"/>
    </row>
    <row r="962">
      <c r="B962" s="138"/>
      <c r="C962" s="138"/>
      <c r="D962" s="138"/>
      <c r="E962" s="138"/>
      <c r="F962" s="138"/>
      <c r="G962" s="139"/>
      <c r="H962" s="139"/>
      <c r="I962" s="139"/>
      <c r="J962" s="139"/>
      <c r="K962" s="139"/>
    </row>
    <row r="963">
      <c r="B963" s="138"/>
      <c r="C963" s="138"/>
      <c r="D963" s="138"/>
      <c r="E963" s="138"/>
      <c r="F963" s="138"/>
      <c r="G963" s="139"/>
      <c r="H963" s="139"/>
      <c r="I963" s="139"/>
      <c r="J963" s="139"/>
      <c r="K963" s="139"/>
    </row>
    <row r="964">
      <c r="B964" s="138"/>
      <c r="C964" s="138"/>
      <c r="D964" s="138"/>
      <c r="E964" s="138"/>
      <c r="F964" s="138"/>
      <c r="G964" s="139"/>
      <c r="H964" s="139"/>
      <c r="I964" s="139"/>
      <c r="J964" s="139"/>
      <c r="K964" s="139"/>
    </row>
    <row r="965">
      <c r="B965" s="138"/>
      <c r="C965" s="138"/>
      <c r="D965" s="138"/>
      <c r="E965" s="138"/>
      <c r="F965" s="138"/>
      <c r="G965" s="139"/>
      <c r="H965" s="139"/>
      <c r="I965" s="139"/>
      <c r="J965" s="139"/>
      <c r="K965" s="139"/>
    </row>
    <row r="966">
      <c r="B966" s="138"/>
      <c r="C966" s="138"/>
      <c r="D966" s="138"/>
      <c r="E966" s="138"/>
      <c r="F966" s="138"/>
      <c r="G966" s="139"/>
      <c r="H966" s="139"/>
      <c r="I966" s="139"/>
      <c r="J966" s="139"/>
      <c r="K966" s="139"/>
    </row>
    <row r="967">
      <c r="B967" s="138"/>
      <c r="C967" s="138"/>
      <c r="D967" s="138"/>
      <c r="E967" s="138"/>
      <c r="F967" s="138"/>
      <c r="G967" s="139"/>
      <c r="H967" s="139"/>
      <c r="I967" s="139"/>
      <c r="J967" s="139"/>
      <c r="K967" s="139"/>
    </row>
    <row r="968">
      <c r="B968" s="138"/>
      <c r="C968" s="138"/>
      <c r="D968" s="138"/>
      <c r="E968" s="138"/>
      <c r="F968" s="138"/>
      <c r="G968" s="139"/>
      <c r="H968" s="139"/>
      <c r="I968" s="139"/>
      <c r="J968" s="139"/>
      <c r="K968" s="139"/>
    </row>
    <row r="969">
      <c r="B969" s="138"/>
      <c r="C969" s="138"/>
      <c r="D969" s="138"/>
      <c r="E969" s="138"/>
      <c r="F969" s="138"/>
      <c r="G969" s="139"/>
      <c r="H969" s="139"/>
      <c r="I969" s="139"/>
      <c r="J969" s="139"/>
      <c r="K969" s="139"/>
    </row>
    <row r="970">
      <c r="B970" s="138"/>
      <c r="C970" s="138"/>
      <c r="D970" s="138"/>
      <c r="E970" s="138"/>
      <c r="F970" s="138"/>
      <c r="G970" s="139"/>
      <c r="H970" s="139"/>
      <c r="I970" s="139"/>
      <c r="J970" s="139"/>
      <c r="K970" s="139"/>
    </row>
    <row r="971">
      <c r="B971" s="138"/>
      <c r="C971" s="138"/>
      <c r="D971" s="138"/>
      <c r="E971" s="138"/>
      <c r="F971" s="138"/>
      <c r="G971" s="139"/>
      <c r="H971" s="139"/>
      <c r="I971" s="139"/>
      <c r="J971" s="139"/>
      <c r="K971" s="139"/>
    </row>
    <row r="972">
      <c r="B972" s="138"/>
      <c r="C972" s="138"/>
      <c r="D972" s="138"/>
      <c r="E972" s="138"/>
      <c r="F972" s="138"/>
      <c r="G972" s="139"/>
      <c r="H972" s="139"/>
      <c r="I972" s="139"/>
      <c r="J972" s="139"/>
      <c r="K972" s="139"/>
    </row>
    <row r="973">
      <c r="B973" s="138"/>
      <c r="C973" s="138"/>
      <c r="D973" s="138"/>
      <c r="E973" s="138"/>
      <c r="F973" s="138"/>
      <c r="G973" s="139"/>
      <c r="H973" s="139"/>
      <c r="I973" s="139"/>
      <c r="J973" s="139"/>
      <c r="K973" s="139"/>
    </row>
    <row r="974">
      <c r="B974" s="138"/>
      <c r="C974" s="138"/>
      <c r="D974" s="138"/>
      <c r="E974" s="138"/>
      <c r="F974" s="138"/>
      <c r="G974" s="139"/>
      <c r="H974" s="139"/>
      <c r="I974" s="139"/>
      <c r="J974" s="139"/>
      <c r="K974" s="139"/>
    </row>
    <row r="975">
      <c r="B975" s="138"/>
      <c r="C975" s="138"/>
      <c r="D975" s="138"/>
      <c r="E975" s="138"/>
      <c r="F975" s="138"/>
      <c r="G975" s="139"/>
      <c r="H975" s="139"/>
      <c r="I975" s="139"/>
      <c r="J975" s="139"/>
      <c r="K975" s="139"/>
    </row>
    <row r="976">
      <c r="B976" s="138"/>
      <c r="C976" s="138"/>
      <c r="D976" s="138"/>
      <c r="E976" s="138"/>
      <c r="F976" s="138"/>
      <c r="G976" s="139"/>
      <c r="H976" s="139"/>
      <c r="I976" s="139"/>
      <c r="J976" s="139"/>
      <c r="K976" s="139"/>
    </row>
    <row r="977">
      <c r="B977" s="138"/>
      <c r="C977" s="138"/>
      <c r="D977" s="138"/>
      <c r="E977" s="138"/>
      <c r="F977" s="138"/>
      <c r="G977" s="139"/>
      <c r="H977" s="139"/>
      <c r="I977" s="139"/>
      <c r="J977" s="139"/>
      <c r="K977" s="139"/>
    </row>
    <row r="978">
      <c r="B978" s="138"/>
      <c r="C978" s="138"/>
      <c r="D978" s="138"/>
      <c r="E978" s="138"/>
      <c r="F978" s="138"/>
      <c r="G978" s="139"/>
      <c r="H978" s="139"/>
      <c r="I978" s="139"/>
      <c r="J978" s="139"/>
      <c r="K978" s="139"/>
    </row>
    <row r="979">
      <c r="B979" s="138"/>
      <c r="C979" s="138"/>
      <c r="D979" s="138"/>
      <c r="E979" s="138"/>
      <c r="F979" s="138"/>
      <c r="G979" s="139"/>
      <c r="H979" s="139"/>
      <c r="I979" s="139"/>
      <c r="J979" s="139"/>
      <c r="K979" s="139"/>
    </row>
    <row r="980">
      <c r="B980" s="138"/>
      <c r="C980" s="138"/>
      <c r="D980" s="138"/>
      <c r="E980" s="138"/>
      <c r="F980" s="138"/>
      <c r="G980" s="139"/>
      <c r="H980" s="139"/>
      <c r="I980" s="139"/>
      <c r="J980" s="139"/>
      <c r="K980" s="139"/>
    </row>
    <row r="981">
      <c r="B981" s="138"/>
      <c r="C981" s="138"/>
      <c r="D981" s="138"/>
      <c r="E981" s="138"/>
      <c r="F981" s="138"/>
      <c r="G981" s="139"/>
      <c r="H981" s="139"/>
      <c r="I981" s="139"/>
      <c r="J981" s="139"/>
      <c r="K981" s="139"/>
    </row>
    <row r="982">
      <c r="B982" s="138"/>
      <c r="C982" s="138"/>
      <c r="D982" s="138"/>
      <c r="E982" s="138"/>
      <c r="F982" s="138"/>
      <c r="G982" s="139"/>
      <c r="H982" s="139"/>
      <c r="I982" s="139"/>
      <c r="J982" s="139"/>
      <c r="K982" s="139"/>
    </row>
    <row r="983">
      <c r="B983" s="138"/>
      <c r="C983" s="138"/>
      <c r="D983" s="138"/>
      <c r="E983" s="138"/>
      <c r="F983" s="138"/>
      <c r="G983" s="139"/>
      <c r="H983" s="139"/>
      <c r="I983" s="139"/>
      <c r="J983" s="139"/>
      <c r="K983" s="139"/>
    </row>
    <row r="984">
      <c r="B984" s="138"/>
      <c r="C984" s="138"/>
      <c r="D984" s="138"/>
      <c r="E984" s="138"/>
      <c r="F984" s="138"/>
      <c r="G984" s="139"/>
      <c r="H984" s="139"/>
      <c r="I984" s="139"/>
      <c r="J984" s="139"/>
      <c r="K984" s="139"/>
    </row>
    <row r="985">
      <c r="B985" s="138"/>
      <c r="C985" s="138"/>
      <c r="D985" s="138"/>
      <c r="E985" s="138"/>
      <c r="F985" s="138"/>
      <c r="G985" s="139"/>
      <c r="H985" s="139"/>
      <c r="I985" s="139"/>
      <c r="J985" s="139"/>
      <c r="K985" s="139"/>
    </row>
    <row r="986">
      <c r="B986" s="138"/>
      <c r="C986" s="138"/>
      <c r="D986" s="138"/>
      <c r="E986" s="138"/>
      <c r="F986" s="138"/>
      <c r="G986" s="139"/>
      <c r="H986" s="139"/>
      <c r="I986" s="139"/>
      <c r="J986" s="139"/>
      <c r="K986" s="139"/>
    </row>
    <row r="987">
      <c r="B987" s="138"/>
      <c r="C987" s="138"/>
      <c r="D987" s="138"/>
      <c r="E987" s="138"/>
      <c r="F987" s="138"/>
      <c r="G987" s="139"/>
      <c r="H987" s="139"/>
      <c r="I987" s="139"/>
      <c r="J987" s="139"/>
      <c r="K987" s="139"/>
    </row>
    <row r="988">
      <c r="B988" s="138"/>
      <c r="C988" s="138"/>
      <c r="D988" s="138"/>
      <c r="E988" s="138"/>
      <c r="F988" s="138"/>
      <c r="G988" s="139"/>
      <c r="H988" s="139"/>
      <c r="I988" s="139"/>
      <c r="J988" s="139"/>
      <c r="K988" s="139"/>
    </row>
    <row r="989">
      <c r="B989" s="138"/>
      <c r="C989" s="138"/>
      <c r="D989" s="138"/>
      <c r="E989" s="138"/>
      <c r="F989" s="138"/>
      <c r="G989" s="139"/>
      <c r="H989" s="139"/>
      <c r="I989" s="139"/>
      <c r="J989" s="139"/>
      <c r="K989" s="139"/>
    </row>
    <row r="990">
      <c r="B990" s="138"/>
      <c r="C990" s="138"/>
      <c r="D990" s="138"/>
      <c r="E990" s="138"/>
      <c r="F990" s="138"/>
      <c r="G990" s="139"/>
      <c r="H990" s="139"/>
      <c r="I990" s="139"/>
      <c r="J990" s="139"/>
      <c r="K990" s="139"/>
    </row>
    <row r="991">
      <c r="B991" s="138"/>
      <c r="C991" s="138"/>
      <c r="D991" s="138"/>
      <c r="E991" s="138"/>
      <c r="F991" s="138"/>
      <c r="G991" s="139"/>
      <c r="H991" s="139"/>
      <c r="I991" s="139"/>
      <c r="J991" s="139"/>
      <c r="K991" s="139"/>
    </row>
    <row r="992">
      <c r="B992" s="138"/>
      <c r="C992" s="138"/>
      <c r="D992" s="138"/>
      <c r="E992" s="138"/>
      <c r="F992" s="138"/>
      <c r="G992" s="139"/>
      <c r="H992" s="139"/>
      <c r="I992" s="139"/>
      <c r="J992" s="139"/>
      <c r="K992" s="139"/>
    </row>
    <row r="993">
      <c r="B993" s="138"/>
      <c r="C993" s="138"/>
      <c r="D993" s="138"/>
      <c r="E993" s="138"/>
      <c r="F993" s="138"/>
      <c r="G993" s="139"/>
      <c r="H993" s="139"/>
      <c r="I993" s="139"/>
      <c r="J993" s="139"/>
      <c r="K993" s="139"/>
    </row>
    <row r="994">
      <c r="B994" s="138"/>
      <c r="C994" s="138"/>
      <c r="D994" s="138"/>
      <c r="E994" s="138"/>
      <c r="F994" s="138"/>
      <c r="G994" s="139"/>
      <c r="H994" s="139"/>
      <c r="I994" s="139"/>
      <c r="J994" s="139"/>
      <c r="K994" s="139"/>
    </row>
    <row r="995">
      <c r="B995" s="138"/>
      <c r="C995" s="138"/>
      <c r="D995" s="138"/>
      <c r="E995" s="138"/>
      <c r="F995" s="138"/>
      <c r="G995" s="139"/>
      <c r="H995" s="139"/>
      <c r="I995" s="139"/>
      <c r="J995" s="139"/>
      <c r="K995" s="139"/>
    </row>
    <row r="996">
      <c r="B996" s="138"/>
      <c r="C996" s="138"/>
      <c r="D996" s="138"/>
      <c r="E996" s="138"/>
      <c r="F996" s="138"/>
      <c r="G996" s="139"/>
      <c r="H996" s="139"/>
      <c r="I996" s="139"/>
      <c r="J996" s="139"/>
      <c r="K996" s="139"/>
    </row>
    <row r="997">
      <c r="B997" s="138"/>
      <c r="C997" s="138"/>
      <c r="D997" s="138"/>
      <c r="E997" s="138"/>
      <c r="F997" s="138"/>
      <c r="G997" s="139"/>
      <c r="H997" s="139"/>
      <c r="I997" s="139"/>
      <c r="J997" s="139"/>
      <c r="K997" s="139"/>
    </row>
    <row r="998">
      <c r="B998" s="138"/>
      <c r="C998" s="138"/>
      <c r="D998" s="138"/>
      <c r="E998" s="138"/>
      <c r="F998" s="138"/>
      <c r="G998" s="139"/>
      <c r="H998" s="139"/>
      <c r="I998" s="139"/>
      <c r="J998" s="139"/>
      <c r="K998" s="139"/>
    </row>
    <row r="999">
      <c r="B999" s="138"/>
      <c r="C999" s="138"/>
      <c r="D999" s="138"/>
      <c r="E999" s="138"/>
      <c r="F999" s="138"/>
      <c r="G999" s="139"/>
      <c r="H999" s="139"/>
      <c r="I999" s="139"/>
      <c r="J999" s="139"/>
      <c r="K999" s="139"/>
    </row>
    <row r="1000">
      <c r="B1000" s="138"/>
      <c r="C1000" s="138"/>
      <c r="D1000" s="138"/>
      <c r="E1000" s="138"/>
      <c r="F1000" s="138"/>
      <c r="G1000" s="139"/>
      <c r="H1000" s="139"/>
      <c r="I1000" s="139"/>
      <c r="J1000" s="139"/>
      <c r="K1000" s="139"/>
    </row>
  </sheetData>
  <mergeCells count="1">
    <mergeCell ref="M31:O3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Col="1"/>
  <cols>
    <col customWidth="1" hidden="1" min="1" max="1" width="5.0"/>
    <col customWidth="1" min="2" max="2" width="4.38"/>
    <col customWidth="1" min="3" max="3" width="3.88"/>
    <col customWidth="1" min="4" max="4" width="16.88"/>
    <col customWidth="1" min="5" max="5" width="4.0"/>
    <col customWidth="1" hidden="1" min="6" max="6" width="5.0"/>
    <col customWidth="1" min="7" max="7" width="4.38"/>
    <col customWidth="1" min="8" max="8" width="3.88"/>
    <col customWidth="1" min="9" max="9" width="18.25"/>
    <col customWidth="1" min="10" max="10" width="4.0"/>
    <col customWidth="1" hidden="1" min="11" max="11" width="5.0"/>
    <col customWidth="1" min="12" max="12" width="4.38"/>
    <col customWidth="1" min="13" max="13" width="3.88"/>
    <col customWidth="1" min="14" max="14" width="16.88"/>
    <col customWidth="1" min="15" max="15" width="4.0"/>
    <col customWidth="1" hidden="1" min="16" max="16" width="5.0"/>
    <col customWidth="1" min="17" max="17" width="4.38"/>
    <col customWidth="1" min="18" max="18" width="3.88"/>
    <col customWidth="1" min="19" max="19" width="16.88"/>
    <col customWidth="1" min="20" max="20" width="4.0"/>
    <col customWidth="1" hidden="1" min="21" max="21" width="5.0"/>
    <col customWidth="1" min="22" max="22" width="4.38"/>
    <col customWidth="1" min="23" max="23" width="3.88"/>
    <col customWidth="1" min="24" max="24" width="16.88"/>
    <col customWidth="1" min="25" max="25" width="4.0"/>
    <col customWidth="1" hidden="1" min="26" max="26" width="5.0"/>
    <col customWidth="1" min="27" max="27" width="4.38"/>
    <col customWidth="1" min="28" max="28" width="3.88"/>
    <col customWidth="1" min="29" max="29" width="16.88"/>
    <col customWidth="1" min="30" max="30" width="4.0"/>
    <col customWidth="1" hidden="1" min="31" max="31" width="5.0"/>
    <col customWidth="1" min="32" max="32" width="4.38"/>
    <col customWidth="1" min="33" max="33" width="3.88"/>
    <col customWidth="1" min="34" max="34" width="16.88"/>
    <col customWidth="1" min="35" max="35" width="4.0"/>
    <col customWidth="1" hidden="1" min="36" max="36" width="5.0"/>
    <col customWidth="1" min="37" max="37" width="4.38"/>
    <col customWidth="1" min="38" max="38" width="3.88"/>
    <col customWidth="1" min="39" max="39" width="16.88"/>
    <col customWidth="1" min="40" max="40" width="4.0"/>
    <col customWidth="1" hidden="1" min="41" max="41" width="5.0"/>
    <col customWidth="1" min="42" max="42" width="4.38"/>
    <col customWidth="1" min="43" max="43" width="3.88"/>
    <col customWidth="1" min="44" max="44" width="16.88"/>
    <col customWidth="1" min="45" max="45" width="4.0"/>
  </cols>
  <sheetData>
    <row r="1">
      <c r="A1" s="3"/>
      <c r="B1" s="3"/>
      <c r="C1" s="3"/>
      <c r="D1" s="3"/>
      <c r="E1" s="3"/>
      <c r="F1" s="3"/>
      <c r="G1" s="3"/>
      <c r="H1" s="3"/>
      <c r="I1" s="3"/>
      <c r="J1" s="3"/>
      <c r="K1" s="8"/>
      <c r="L1" s="8"/>
      <c r="M1" s="8"/>
      <c r="N1" s="8"/>
      <c r="O1" s="8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5"/>
      <c r="AK1" s="8"/>
      <c r="AL1" s="8"/>
      <c r="AM1" s="8"/>
      <c r="AN1" s="8"/>
      <c r="AO1" s="8"/>
      <c r="AP1" s="8"/>
      <c r="AQ1" s="8"/>
      <c r="AR1" s="8"/>
      <c r="AS1" s="8"/>
    </row>
    <row r="2">
      <c r="A2" s="15"/>
      <c r="B2" s="15"/>
      <c r="C2" s="15"/>
      <c r="D2" s="15"/>
      <c r="E2" s="15"/>
      <c r="F2" s="8"/>
      <c r="G2" s="8"/>
      <c r="H2" s="8"/>
      <c r="I2" s="8"/>
      <c r="J2" s="8"/>
      <c r="K2" s="8"/>
      <c r="L2" s="8"/>
      <c r="M2" s="8"/>
      <c r="N2" s="8"/>
      <c r="O2" s="8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15"/>
      <c r="AK2" s="8"/>
      <c r="AL2" s="8"/>
      <c r="AM2" s="8"/>
      <c r="AN2" s="8"/>
      <c r="AO2" s="15"/>
      <c r="AP2" s="15"/>
      <c r="AQ2" s="15"/>
      <c r="AR2" s="15"/>
      <c r="AS2" s="15"/>
    </row>
    <row r="3">
      <c r="A3" s="15"/>
      <c r="B3" s="15"/>
      <c r="C3" s="15"/>
      <c r="D3" s="15"/>
      <c r="E3" s="15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8"/>
      <c r="AK3" s="8"/>
      <c r="AL3" s="8"/>
      <c r="AM3" s="8"/>
      <c r="AN3" s="8"/>
      <c r="AO3" s="15"/>
      <c r="AP3" s="15"/>
      <c r="AQ3" s="15"/>
      <c r="AR3" s="15"/>
      <c r="AS3" s="15"/>
    </row>
    <row r="4">
      <c r="A4" s="37"/>
      <c r="B4" s="37"/>
      <c r="C4" s="37"/>
      <c r="D4" s="37"/>
      <c r="E4" s="37"/>
      <c r="F4" s="8"/>
      <c r="G4" s="8"/>
      <c r="H4" s="8"/>
      <c r="I4" s="8"/>
      <c r="J4" s="8"/>
      <c r="K4" s="8"/>
      <c r="L4" s="8"/>
      <c r="M4" s="8"/>
      <c r="N4" s="8"/>
      <c r="O4" s="8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8"/>
      <c r="AK4" s="8"/>
      <c r="AL4" s="8"/>
      <c r="AM4" s="8"/>
      <c r="AN4" s="8"/>
      <c r="AO4" s="37"/>
      <c r="AP4" s="37"/>
      <c r="AQ4" s="37"/>
      <c r="AR4" s="37"/>
      <c r="AS4" s="37"/>
    </row>
    <row r="5">
      <c r="A5" s="49" t="str">
        <f>IFERROR(__xludf.DUMMYFUNCTION("importrange(""186BTcLZIRRmcGcU5S6nDdN41SUH8zUJ1gFEIezWrRnQ"",""'tandem bracket'!A5:AS37"")"),"TOP 32")</f>
        <v>TOP 32</v>
      </c>
      <c r="B5" s="50"/>
      <c r="C5" s="50"/>
      <c r="D5" s="50"/>
      <c r="E5" s="52"/>
      <c r="F5" s="8"/>
      <c r="G5" s="8"/>
      <c r="H5" s="8"/>
      <c r="I5" s="8"/>
      <c r="J5" s="8"/>
      <c r="K5" s="8"/>
      <c r="L5" s="8"/>
      <c r="M5" s="8"/>
      <c r="N5" s="8"/>
      <c r="O5" s="8"/>
      <c r="P5" s="9" t="str">
        <f>IFERROR(__xludf.DUMMYFUNCTION("""COMPUTED_VALUE"""),"FINAL")</f>
        <v>FINAL</v>
      </c>
      <c r="Q5" s="9"/>
      <c r="R5" s="9"/>
      <c r="S5" s="9"/>
      <c r="T5" s="9" t="str">
        <f>IFERROR(__xludf.DUMMYFUNCTION("""COMPUTED_VALUE"""),"Car")</f>
        <v>Car</v>
      </c>
      <c r="U5" s="9" t="str">
        <f>IFERROR(__xludf.DUMMYFUNCTION("""COMPUTED_VALUE"""),"Position")</f>
        <v>Position</v>
      </c>
      <c r="V5" s="9" t="str">
        <f>IFERROR(__xludf.DUMMYFUNCTION("""COMPUTED_VALUE"""),"Qali")</f>
        <v>Qali</v>
      </c>
      <c r="W5" s="9" t="str">
        <f>IFERROR(__xludf.DUMMYFUNCTION("""COMPUTED_VALUE"""),"Nr")</f>
        <v>Nr</v>
      </c>
      <c r="X5" s="9" t="str">
        <f>IFERROR(__xludf.DUMMYFUNCTION("""COMPUTED_VALUE"""),"Driver")</f>
        <v>Driver</v>
      </c>
      <c r="Y5" s="9"/>
      <c r="Z5" s="9" t="str">
        <f>IFERROR(__xludf.DUMMYFUNCTION("""COMPUTED_VALUE"""),"Country")</f>
        <v>Country</v>
      </c>
      <c r="AA5" s="9" t="str">
        <f>IFERROR(__xludf.DUMMYFUNCTION("""COMPUTED_VALUE"""),"Team")</f>
        <v>Team</v>
      </c>
      <c r="AB5" s="9"/>
      <c r="AC5" s="9" t="str">
        <f>IFERROR(__xludf.DUMMYFUNCTION("""COMPUTED_VALUE"""),"2nd")</f>
        <v>2nd</v>
      </c>
      <c r="AD5" s="9" t="str">
        <f>IFERROR(__xludf.DUMMYFUNCTION("""COMPUTED_VALUE"""),"&lt;&lt;- 1st or 2nd part of tandem")</f>
        <v>&lt;&lt;- 1st or 2nd part of tandem</v>
      </c>
      <c r="AE5" s="9"/>
      <c r="AF5" s="9"/>
      <c r="AG5" s="9"/>
      <c r="AH5" s="9"/>
      <c r="AI5" s="9"/>
      <c r="AJ5" s="8"/>
      <c r="AK5" s="8"/>
      <c r="AL5" s="8"/>
      <c r="AM5" s="8"/>
      <c r="AN5" s="57"/>
      <c r="AO5" s="49" t="str">
        <f>IFERROR(__xludf.DUMMYFUNCTION("""COMPUTED_VALUE"""),"TOP 32")</f>
        <v>TOP 32</v>
      </c>
      <c r="AP5" s="50"/>
      <c r="AQ5" s="50"/>
      <c r="AR5" s="50"/>
      <c r="AS5" s="52"/>
    </row>
    <row r="6">
      <c r="A6" s="61"/>
      <c r="E6" s="63"/>
      <c r="F6" s="64"/>
      <c r="G6" s="64"/>
      <c r="H6" s="64"/>
      <c r="I6" s="64"/>
      <c r="J6" s="64"/>
      <c r="K6" s="8"/>
      <c r="L6" s="8"/>
      <c r="M6" s="8"/>
      <c r="N6" s="8"/>
      <c r="O6" s="8"/>
      <c r="P6" s="9"/>
      <c r="Q6" s="9"/>
      <c r="R6" s="9"/>
      <c r="S6" s="9"/>
      <c r="T6" s="9" t="str">
        <f>IFERROR(__xludf.DUMMYFUNCTION("""COMPUTED_VALUE"""),"BMW E36")</f>
        <v>BMW E36</v>
      </c>
      <c r="U6" s="9" t="str">
        <f>IFERROR(__xludf.DUMMYFUNCTION("""COMPUTED_VALUE"""),"LEAD")</f>
        <v>LEAD</v>
      </c>
      <c r="V6" s="9">
        <f>IFERROR(__xludf.DUMMYFUNCTION("""COMPUTED_VALUE"""),6.0)</f>
        <v>6</v>
      </c>
      <c r="W6" s="9">
        <f>IFERROR(__xludf.DUMMYFUNCTION("""COMPUTED_VALUE"""),41.0)</f>
        <v>41</v>
      </c>
      <c r="X6" s="9" t="str">
        <f>IFERROR(__xludf.DUMMYFUNCTION("""COMPUTED_VALUE"""),"Armands Vestmanis")</f>
        <v>Armands Vestmanis</v>
      </c>
      <c r="Y6" s="9" t="str">
        <f>IFERROR(__xludf.DUMMYFUNCTION("""COMPUTED_VALUE"""),"")</f>
        <v/>
      </c>
      <c r="Z6" s="9" t="str">
        <f>IFERROR(__xludf.DUMMYFUNCTION("""COMPUTED_VALUE"""),"Latvia")</f>
        <v>Latvia</v>
      </c>
      <c r="AA6" s="9" t="str">
        <f>IFERROR(__xludf.DUMMYFUNCTION("""COMPUTED_VALUE"""),"RTRiga")</f>
        <v>RTRiga</v>
      </c>
      <c r="AB6" s="9"/>
      <c r="AC6" s="9"/>
      <c r="AD6" s="9"/>
      <c r="AE6" s="9"/>
      <c r="AF6" s="9"/>
      <c r="AG6" s="9"/>
      <c r="AH6" s="9"/>
      <c r="AI6" s="9"/>
      <c r="AJ6" s="64"/>
      <c r="AK6" s="64"/>
      <c r="AL6" s="64"/>
      <c r="AM6" s="64"/>
      <c r="AN6" s="67"/>
      <c r="AO6" s="61"/>
      <c r="AS6" s="63"/>
    </row>
    <row r="7">
      <c r="A7" s="68" t="str">
        <f>IFERROR(__xludf.DUMMYFUNCTION("""COMPUTED_VALUE"""),"T nr")</f>
        <v>T nr</v>
      </c>
      <c r="B7" s="69" t="str">
        <f>IFERROR(__xludf.DUMMYFUNCTION("""COMPUTED_VALUE"""),"Qali")</f>
        <v>Qali</v>
      </c>
      <c r="C7" s="70" t="str">
        <f>IFERROR(__xludf.DUMMYFUNCTION("""COMPUTED_VALUE"""),"Nr")</f>
        <v>Nr</v>
      </c>
      <c r="D7" s="69" t="str">
        <f>IFERROR(__xludf.DUMMYFUNCTION("""COMPUTED_VALUE"""),"Driver")</f>
        <v>Driver</v>
      </c>
      <c r="E7" s="71" t="str">
        <f>IFERROR(__xludf.DUMMYFUNCTION("""COMPUTED_VALUE"""),"V")</f>
        <v>V</v>
      </c>
      <c r="F7" s="49" t="str">
        <f>IFERROR(__xludf.DUMMYFUNCTION("""COMPUTED_VALUE"""),"TOP 16")</f>
        <v>TOP 16</v>
      </c>
      <c r="G7" s="50"/>
      <c r="H7" s="50"/>
      <c r="I7" s="50"/>
      <c r="J7" s="52"/>
      <c r="K7" s="8"/>
      <c r="L7" s="8"/>
      <c r="M7" s="8"/>
      <c r="N7" s="8"/>
      <c r="O7" s="8"/>
      <c r="P7" s="8"/>
      <c r="Q7" s="8"/>
      <c r="R7" s="8"/>
      <c r="S7" s="72"/>
      <c r="T7" s="9" t="str">
        <f>IFERROR(__xludf.DUMMYFUNCTION("""COMPUTED_VALUE"""),"BMW E46")</f>
        <v>BMW E46</v>
      </c>
      <c r="U7" s="9" t="str">
        <f>IFERROR(__xludf.DUMMYFUNCTION("""COMPUTED_VALUE"""),"CHASE")</f>
        <v>CHASE</v>
      </c>
      <c r="V7" s="9">
        <f>IFERROR(__xludf.DUMMYFUNCTION("""COMPUTED_VALUE"""),5.0)</f>
        <v>5</v>
      </c>
      <c r="W7" s="9">
        <f>IFERROR(__xludf.DUMMYFUNCTION("""COMPUTED_VALUE"""),410.0)</f>
        <v>410</v>
      </c>
      <c r="X7" s="9" t="str">
        <f>IFERROR(__xludf.DUMMYFUNCTION("""COMPUTED_VALUE"""),"Chase Cronin")</f>
        <v>Chase Cronin</v>
      </c>
      <c r="Y7" s="9" t="str">
        <f>IFERROR(__xludf.DUMMYFUNCTION("""COMPUTED_VALUE"""),"V")</f>
        <v>V</v>
      </c>
      <c r="Z7" s="9" t="str">
        <f>IFERROR(__xludf.DUMMYFUNCTION("""COMPUTED_VALUE"""),"United States")</f>
        <v>United States</v>
      </c>
      <c r="AA7" s="9" t="str">
        <f>IFERROR(__xludf.DUMMYFUNCTION("""COMPUTED_VALUE"""),"Kaiju")</f>
        <v>Kaiju</v>
      </c>
      <c r="AB7" s="9"/>
      <c r="AC7" s="8" t="str">
        <f>IFERROR(__xludf.DUMMYFUNCTION("""COMPUTED_VALUE""")," ")</f>
        <v> </v>
      </c>
      <c r="AD7" s="8"/>
      <c r="AE7" s="8"/>
      <c r="AF7" s="8"/>
      <c r="AG7" s="8"/>
      <c r="AH7" s="8"/>
      <c r="AI7" s="57"/>
      <c r="AJ7" s="49" t="str">
        <f>IFERROR(__xludf.DUMMYFUNCTION("""COMPUTED_VALUE"""),"TOP 16")</f>
        <v>TOP 16</v>
      </c>
      <c r="AK7" s="50"/>
      <c r="AL7" s="50"/>
      <c r="AM7" s="50"/>
      <c r="AN7" s="52"/>
      <c r="AO7" s="68" t="str">
        <f>IFERROR(__xludf.DUMMYFUNCTION("""COMPUTED_VALUE"""),"T nr")</f>
        <v>T nr</v>
      </c>
      <c r="AP7" s="69" t="str">
        <f>IFERROR(__xludf.DUMMYFUNCTION("""COMPUTED_VALUE"""),"Qali")</f>
        <v>Qali</v>
      </c>
      <c r="AQ7" s="70" t="str">
        <f>IFERROR(__xludf.DUMMYFUNCTION("""COMPUTED_VALUE"""),"Nr")</f>
        <v>Nr</v>
      </c>
      <c r="AR7" s="69" t="str">
        <f>IFERROR(__xludf.DUMMYFUNCTION("""COMPUTED_VALUE"""),"Driver")</f>
        <v>Driver</v>
      </c>
      <c r="AS7" s="71" t="str">
        <f>IFERROR(__xludf.DUMMYFUNCTION("""COMPUTED_VALUE"""),"V")</f>
        <v>V</v>
      </c>
    </row>
    <row r="8">
      <c r="A8" s="77">
        <f>IFERROR(__xludf.DUMMYFUNCTION("""COMPUTED_VALUE"""),1.0)</f>
        <v>1</v>
      </c>
      <c r="B8" s="78">
        <f>IFERROR(__xludf.DUMMYFUNCTION("""COMPUTED_VALUE"""),1.0)</f>
        <v>1</v>
      </c>
      <c r="C8" s="78">
        <f>IFERROR(__xludf.DUMMYFUNCTION("""COMPUTED_VALUE"""),895.0)</f>
        <v>895</v>
      </c>
      <c r="D8" s="81" t="str">
        <f>IFERROR(__xludf.DUMMYFUNCTION("""COMPUTED_VALUE"""),"Siim Voort")</f>
        <v>Siim Voort</v>
      </c>
      <c r="E8" s="82" t="str">
        <f>IFERROR(__xludf.DUMMYFUNCTION("""COMPUTED_VALUE"""),"V")</f>
        <v>V</v>
      </c>
      <c r="F8" s="61"/>
      <c r="J8" s="63"/>
      <c r="K8" s="8"/>
      <c r="L8" s="8"/>
      <c r="M8" s="8"/>
      <c r="N8" s="8"/>
      <c r="O8" s="8"/>
      <c r="P8" s="8"/>
      <c r="Q8" s="9" t="str">
        <f>IFERROR(__xludf.DUMMYFUNCTION("""COMPUTED_VALUE"""),"NEXT")</f>
        <v>NEXT</v>
      </c>
      <c r="R8" s="9"/>
      <c r="S8" s="9"/>
      <c r="T8" s="9"/>
      <c r="U8" s="9" t="str">
        <f>IFERROR(__xludf.DUMMYFUNCTION("""COMPUTED_VALUE"""),"LEAD")</f>
        <v>LEAD</v>
      </c>
      <c r="V8" s="9" t="str">
        <f>IFERROR(__xludf.DUMMYFUNCTION("""COMPUTED_VALUE"""),"#N/A")</f>
        <v>#N/A</v>
      </c>
      <c r="W8" s="9" t="str">
        <f>IFERROR(__xludf.DUMMYFUNCTION("""COMPUTED_VALUE"""),"#N/A")</f>
        <v>#N/A</v>
      </c>
      <c r="X8" s="9" t="str">
        <f>IFERROR(__xludf.DUMMYFUNCTION("""COMPUTED_VALUE"""),"#N/A")</f>
        <v>#N/A</v>
      </c>
      <c r="Y8" s="9"/>
      <c r="Z8" s="9"/>
      <c r="AA8" s="9"/>
      <c r="AB8" s="9"/>
      <c r="AC8" s="8"/>
      <c r="AD8" s="8"/>
      <c r="AE8" s="8" t="str">
        <f>IFERROR(__xludf.DUMMYFUNCTION("""COMPUTED_VALUE""")," ")</f>
        <v> </v>
      </c>
      <c r="AF8" s="8"/>
      <c r="AG8" s="8"/>
      <c r="AH8" s="8"/>
      <c r="AI8" s="57"/>
      <c r="AJ8" s="61"/>
      <c r="AN8" s="63"/>
      <c r="AO8" s="77">
        <f>IFERROR(__xludf.DUMMYFUNCTION("""COMPUTED_VALUE"""),9.0)</f>
        <v>9</v>
      </c>
      <c r="AP8" s="78">
        <f>IFERROR(__xludf.DUMMYFUNCTION("""COMPUTED_VALUE"""),2.0)</f>
        <v>2</v>
      </c>
      <c r="AQ8" s="78">
        <f>IFERROR(__xludf.DUMMYFUNCTION("""COMPUTED_VALUE"""),26.0)</f>
        <v>26</v>
      </c>
      <c r="AR8" s="81" t="str">
        <f>IFERROR(__xludf.DUMMYFUNCTION("""COMPUTED_VALUE"""),"Iban Torreblanca")</f>
        <v>Iban Torreblanca</v>
      </c>
      <c r="AS8" s="82" t="str">
        <f>IFERROR(__xludf.DUMMYFUNCTION("""COMPUTED_VALUE"""),"")</f>
        <v/>
      </c>
    </row>
    <row r="9">
      <c r="A9" s="77" t="str">
        <f>IFERROR(__xludf.DUMMYFUNCTION("""COMPUTED_VALUE"""),"1a")</f>
        <v>1a</v>
      </c>
      <c r="B9" s="78">
        <f>IFERROR(__xludf.DUMMYFUNCTION("""COMPUTED_VALUE"""),32.0)</f>
        <v>32</v>
      </c>
      <c r="C9" s="78">
        <f>IFERROR(__xludf.DUMMYFUNCTION("""COMPUTED_VALUE"""),59.0)</f>
        <v>59</v>
      </c>
      <c r="D9" s="81" t="str">
        <f>IFERROR(__xludf.DUMMYFUNCTION("""COMPUTED_VALUE"""),"Oleh Solomoichenko")</f>
        <v>Oleh Solomoichenko</v>
      </c>
      <c r="E9" s="85" t="str">
        <f>IFERROR(__xludf.DUMMYFUNCTION("""COMPUTED_VALUE"""),"")</f>
        <v/>
      </c>
      <c r="F9" s="68" t="str">
        <f>IFERROR(__xludf.DUMMYFUNCTION("""COMPUTED_VALUE"""),"T nr")</f>
        <v>T nr</v>
      </c>
      <c r="G9" s="69" t="str">
        <f>IFERROR(__xludf.DUMMYFUNCTION("""COMPUTED_VALUE"""),"Qali")</f>
        <v>Qali</v>
      </c>
      <c r="H9" s="70" t="str">
        <f>IFERROR(__xludf.DUMMYFUNCTION("""COMPUTED_VALUE"""),"Nr")</f>
        <v>Nr</v>
      </c>
      <c r="I9" s="69" t="str">
        <f>IFERROR(__xludf.DUMMYFUNCTION("""COMPUTED_VALUE"""),"Driver")</f>
        <v>Driver</v>
      </c>
      <c r="J9" s="71" t="str">
        <f>IFERROR(__xludf.DUMMYFUNCTION("""COMPUTED_VALUE"""),"V")</f>
        <v>V</v>
      </c>
      <c r="K9" s="8"/>
      <c r="L9" s="8"/>
      <c r="M9" s="8"/>
      <c r="N9" s="8"/>
      <c r="O9" s="8"/>
      <c r="P9" s="8"/>
      <c r="Q9" s="9"/>
      <c r="R9" s="9"/>
      <c r="S9" s="9"/>
      <c r="T9" s="9"/>
      <c r="U9" s="9" t="str">
        <f>IFERROR(__xludf.DUMMYFUNCTION("""COMPUTED_VALUE"""),"CHASE")</f>
        <v>CHASE</v>
      </c>
      <c r="V9" s="9" t="str">
        <f>IFERROR(__xludf.DUMMYFUNCTION("""COMPUTED_VALUE"""),"#N/A")</f>
        <v>#N/A</v>
      </c>
      <c r="W9" s="9" t="str">
        <f>IFERROR(__xludf.DUMMYFUNCTION("""COMPUTED_VALUE"""),"#N/A")</f>
        <v>#N/A</v>
      </c>
      <c r="X9" s="9" t="str">
        <f>IFERROR(__xludf.DUMMYFUNCTION("""COMPUTED_VALUE"""),"#N/A")</f>
        <v>#N/A</v>
      </c>
      <c r="Y9" s="9"/>
      <c r="Z9" s="9"/>
      <c r="AA9" s="9"/>
      <c r="AB9" s="9"/>
      <c r="AC9" s="8"/>
      <c r="AD9" s="8"/>
      <c r="AE9" s="8"/>
      <c r="AF9" s="8"/>
      <c r="AG9" s="8"/>
      <c r="AH9" s="8"/>
      <c r="AI9" s="57"/>
      <c r="AJ9" s="68" t="str">
        <f>IFERROR(__xludf.DUMMYFUNCTION("""COMPUTED_VALUE"""),"T nr")</f>
        <v>T nr</v>
      </c>
      <c r="AK9" s="69" t="str">
        <f>IFERROR(__xludf.DUMMYFUNCTION("""COMPUTED_VALUE"""),"Qali")</f>
        <v>Qali</v>
      </c>
      <c r="AL9" s="70" t="str">
        <f>IFERROR(__xludf.DUMMYFUNCTION("""COMPUTED_VALUE"""),"Nr")</f>
        <v>Nr</v>
      </c>
      <c r="AM9" s="69" t="str">
        <f>IFERROR(__xludf.DUMMYFUNCTION("""COMPUTED_VALUE"""),"Driver")</f>
        <v>Driver</v>
      </c>
      <c r="AN9" s="71" t="str">
        <f>IFERROR(__xludf.DUMMYFUNCTION("""COMPUTED_VALUE"""),"V")</f>
        <v>V</v>
      </c>
      <c r="AO9" s="77" t="str">
        <f>IFERROR(__xludf.DUMMYFUNCTION("""COMPUTED_VALUE"""),"9a")</f>
        <v>9a</v>
      </c>
      <c r="AP9" s="78">
        <f>IFERROR(__xludf.DUMMYFUNCTION("""COMPUTED_VALUE"""),31.0)</f>
        <v>31</v>
      </c>
      <c r="AQ9" s="78">
        <f>IFERROR(__xludf.DUMMYFUNCTION("""COMPUTED_VALUE"""),9.0)</f>
        <v>9</v>
      </c>
      <c r="AR9" s="81" t="str">
        <f>IFERROR(__xludf.DUMMYFUNCTION("""COMPUTED_VALUE"""),"Benas Jonutis")</f>
        <v>Benas Jonutis</v>
      </c>
      <c r="AS9" s="85" t="str">
        <f>IFERROR(__xludf.DUMMYFUNCTION("""COMPUTED_VALUE"""),"V")</f>
        <v>V</v>
      </c>
    </row>
    <row r="10">
      <c r="A10" s="88"/>
      <c r="B10" s="8"/>
      <c r="C10" s="8"/>
      <c r="D10" s="8"/>
      <c r="E10" s="89"/>
      <c r="F10" s="77">
        <f>IFERROR(__xludf.DUMMYFUNCTION("""COMPUTED_VALUE"""),17.0)</f>
        <v>17</v>
      </c>
      <c r="G10" s="78">
        <f>IFERROR(__xludf.DUMMYFUNCTION("""COMPUTED_VALUE"""),1.0)</f>
        <v>1</v>
      </c>
      <c r="H10" s="78">
        <f>IFERROR(__xludf.DUMMYFUNCTION("""COMPUTED_VALUE"""),895.0)</f>
        <v>895</v>
      </c>
      <c r="I10" s="81" t="str">
        <f>IFERROR(__xludf.DUMMYFUNCTION("""COMPUTED_VALUE"""),"Siim Voort")</f>
        <v>Siim Voort</v>
      </c>
      <c r="J10" s="82" t="str">
        <f>IFERROR(__xludf.DUMMYFUNCTION("""COMPUTED_VALUE"""),"V")</f>
        <v>V</v>
      </c>
      <c r="K10" s="64"/>
      <c r="L10" s="64"/>
      <c r="M10" s="64"/>
      <c r="N10" s="64"/>
      <c r="O10" s="64"/>
      <c r="P10" s="8"/>
      <c r="Q10" s="9" t="str">
        <f>IFERROR(__xludf.DUMMYFUNCTION("""COMPUTED_VALUE"""),"Now driving: LEAD 41 Armands Vestmanis &amp; CHASE 410 Chase Cronin")</f>
        <v>Now driving: LEAD 41 Armands Vestmanis &amp; CHASE 410 Chase Cronin</v>
      </c>
      <c r="R10" s="9"/>
      <c r="S10" s="9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8"/>
      <c r="AE10" s="64"/>
      <c r="AF10" s="64"/>
      <c r="AG10" s="64"/>
      <c r="AH10" s="64"/>
      <c r="AI10" s="67"/>
      <c r="AJ10" s="77">
        <f>IFERROR(__xludf.DUMMYFUNCTION("""COMPUTED_VALUE"""),21.0)</f>
        <v>21</v>
      </c>
      <c r="AK10" s="78">
        <f>IFERROR(__xludf.DUMMYFUNCTION("""COMPUTED_VALUE"""),31.0)</f>
        <v>31</v>
      </c>
      <c r="AL10" s="78">
        <f>IFERROR(__xludf.DUMMYFUNCTION("""COMPUTED_VALUE"""),9.0)</f>
        <v>9</v>
      </c>
      <c r="AM10" s="81" t="str">
        <f>IFERROR(__xludf.DUMMYFUNCTION("""COMPUTED_VALUE"""),"Benas Jonutis")</f>
        <v>Benas Jonutis</v>
      </c>
      <c r="AN10" s="82" t="str">
        <f>IFERROR(__xludf.DUMMYFUNCTION("""COMPUTED_VALUE"""),"V")</f>
        <v>V</v>
      </c>
      <c r="AO10" s="88"/>
      <c r="AP10" s="8"/>
      <c r="AQ10" s="8" t="str">
        <f>IFERROR(__xludf.DUMMYFUNCTION("""COMPUTED_VALUE"""),"")</f>
        <v/>
      </c>
      <c r="AR10" s="8" t="str">
        <f>IFERROR(__xludf.DUMMYFUNCTION("""COMPUTED_VALUE"""),"")</f>
        <v/>
      </c>
      <c r="AS10" s="89"/>
    </row>
    <row r="11">
      <c r="A11" s="68"/>
      <c r="B11" s="69"/>
      <c r="C11" s="69"/>
      <c r="D11" s="69"/>
      <c r="E11" s="82"/>
      <c r="F11" s="77" t="str">
        <f>IFERROR(__xludf.DUMMYFUNCTION("""COMPUTED_VALUE"""),"17a")</f>
        <v>17a</v>
      </c>
      <c r="G11" s="78">
        <f>IFERROR(__xludf.DUMMYFUNCTION("""COMPUTED_VALUE"""),16.0)</f>
        <v>16</v>
      </c>
      <c r="H11" s="78">
        <f>IFERROR(__xludf.DUMMYFUNCTION("""COMPUTED_VALUE"""),111.0)</f>
        <v>111</v>
      </c>
      <c r="I11" s="81" t="str">
        <f>IFERROR(__xludf.DUMMYFUNCTION("""COMPUTED_VALUE"""),"Zydrunas Petkevicius")</f>
        <v>Zydrunas Petkevicius</v>
      </c>
      <c r="J11" s="85" t="str">
        <f>IFERROR(__xludf.DUMMYFUNCTION("""COMPUTED_VALUE"""),"")</f>
        <v/>
      </c>
      <c r="K11" s="49" t="str">
        <f>IFERROR(__xludf.DUMMYFUNCTION("""COMPUTED_VALUE"""),"TOP 8")</f>
        <v>TOP 8</v>
      </c>
      <c r="L11" s="50"/>
      <c r="M11" s="50"/>
      <c r="N11" s="50"/>
      <c r="O11" s="52"/>
      <c r="P11" s="8"/>
      <c r="Q11" s="9" t="str">
        <f>IFERROR(__xludf.DUMMYFUNCTION("""COMPUTED_VALUE"""),"WINNER: 410 Chase Cronin")</f>
        <v>WINNER: 410 Chase Cronin</v>
      </c>
      <c r="R11" s="9"/>
      <c r="S11" s="9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89"/>
      <c r="AE11" s="49" t="str">
        <f>IFERROR(__xludf.DUMMYFUNCTION("""COMPUTED_VALUE"""),"TOP 8")</f>
        <v>TOP 8</v>
      </c>
      <c r="AF11" s="50"/>
      <c r="AG11" s="50"/>
      <c r="AH11" s="50"/>
      <c r="AI11" s="52"/>
      <c r="AJ11" s="77" t="str">
        <f>IFERROR(__xludf.DUMMYFUNCTION("""COMPUTED_VALUE"""),"21a")</f>
        <v>21a</v>
      </c>
      <c r="AK11" s="78">
        <f>IFERROR(__xludf.DUMMYFUNCTION("""COMPUTED_VALUE"""),18.0)</f>
        <v>18</v>
      </c>
      <c r="AL11" s="78">
        <f>IFERROR(__xludf.DUMMYFUNCTION("""COMPUTED_VALUE"""),444.0)</f>
        <v>444</v>
      </c>
      <c r="AM11" s="81" t="str">
        <f>IFERROR(__xludf.DUMMYFUNCTION("""COMPUTED_VALUE"""),"Wojciech Denis")</f>
        <v>Wojciech Denis</v>
      </c>
      <c r="AN11" s="85" t="str">
        <f>IFERROR(__xludf.DUMMYFUNCTION("""COMPUTED_VALUE"""),"")</f>
        <v/>
      </c>
      <c r="AO11" s="68"/>
      <c r="AP11" s="69"/>
      <c r="AQ11" s="69" t="str">
        <f>IFERROR(__xludf.DUMMYFUNCTION("""COMPUTED_VALUE"""),"")</f>
        <v/>
      </c>
      <c r="AR11" s="69" t="str">
        <f>IFERROR(__xludf.DUMMYFUNCTION("""COMPUTED_VALUE"""),"")</f>
        <v/>
      </c>
      <c r="AS11" s="82"/>
    </row>
    <row r="12">
      <c r="A12" s="77">
        <f>IFERROR(__xludf.DUMMYFUNCTION("""COMPUTED_VALUE"""),2.0)</f>
        <v>2</v>
      </c>
      <c r="B12" s="78">
        <f>IFERROR(__xludf.DUMMYFUNCTION("""COMPUTED_VALUE"""),16.0)</f>
        <v>16</v>
      </c>
      <c r="C12" s="78">
        <f>IFERROR(__xludf.DUMMYFUNCTION("""COMPUTED_VALUE"""),111.0)</f>
        <v>111</v>
      </c>
      <c r="D12" s="81" t="str">
        <f>IFERROR(__xludf.DUMMYFUNCTION("""COMPUTED_VALUE"""),"Zydrunas Petkevicius")</f>
        <v>Zydrunas Petkevicius</v>
      </c>
      <c r="E12" s="85" t="str">
        <f>IFERROR(__xludf.DUMMYFUNCTION("""COMPUTED_VALUE"""),"V")</f>
        <v>V</v>
      </c>
      <c r="F12" s="88"/>
      <c r="G12" s="8"/>
      <c r="H12" s="8"/>
      <c r="I12" s="8"/>
      <c r="J12" s="89"/>
      <c r="K12" s="61"/>
      <c r="O12" s="63"/>
      <c r="P12" s="8"/>
      <c r="Q12" s="9" t="str">
        <f>IFERROR(__xludf.DUMMYFUNCTION("""COMPUTED_VALUE"""),"#N/A")</f>
        <v>#N/A</v>
      </c>
      <c r="R12" s="9"/>
      <c r="S12" s="9"/>
      <c r="T12" s="9"/>
      <c r="U12" s="9"/>
      <c r="V12" s="9"/>
      <c r="W12" s="9"/>
      <c r="X12" s="9"/>
      <c r="Y12" s="8"/>
      <c r="Z12" s="15"/>
      <c r="AA12" s="15"/>
      <c r="AB12" s="15"/>
      <c r="AC12" s="15"/>
      <c r="AD12" s="89"/>
      <c r="AE12" s="61"/>
      <c r="AI12" s="63"/>
      <c r="AJ12" s="88"/>
      <c r="AK12" s="8"/>
      <c r="AL12" s="8"/>
      <c r="AM12" s="8"/>
      <c r="AN12" s="89"/>
      <c r="AO12" s="77">
        <f>IFERROR(__xludf.DUMMYFUNCTION("""COMPUTED_VALUE"""),10.0)</f>
        <v>10</v>
      </c>
      <c r="AP12" s="78">
        <f>IFERROR(__xludf.DUMMYFUNCTION("""COMPUTED_VALUE"""),15.0)</f>
        <v>15</v>
      </c>
      <c r="AQ12" s="78">
        <f>IFERROR(__xludf.DUMMYFUNCTION("""COMPUTED_VALUE"""),65.0)</f>
        <v>65</v>
      </c>
      <c r="AR12" s="81" t="str">
        <f>IFERROR(__xludf.DUMMYFUNCTION("""COMPUTED_VALUE"""),"Juuso Järvenpää")</f>
        <v>Juuso Järvenpää</v>
      </c>
      <c r="AS12" s="85" t="str">
        <f>IFERROR(__xludf.DUMMYFUNCTION("""COMPUTED_VALUE"""),"")</f>
        <v/>
      </c>
    </row>
    <row r="13">
      <c r="A13" s="77" t="str">
        <f>IFERROR(__xludf.DUMMYFUNCTION("""COMPUTED_VALUE"""),"2a")</f>
        <v>2a</v>
      </c>
      <c r="B13" s="78">
        <f>IFERROR(__xludf.DUMMYFUNCTION("""COMPUTED_VALUE"""),17.0)</f>
        <v>17</v>
      </c>
      <c r="C13" s="78">
        <f>IFERROR(__xludf.DUMMYFUNCTION("""COMPUTED_VALUE"""),666.0)</f>
        <v>666</v>
      </c>
      <c r="D13" s="81" t="str">
        <f>IFERROR(__xludf.DUMMYFUNCTION("""COMPUTED_VALUE"""),"Ritums Jēkabsons")</f>
        <v>Ritums Jēkabsons</v>
      </c>
      <c r="E13" s="82" t="str">
        <f>IFERROR(__xludf.DUMMYFUNCTION("""COMPUTED_VALUE"""),"")</f>
        <v/>
      </c>
      <c r="F13" s="88"/>
      <c r="G13" s="8"/>
      <c r="H13" s="8"/>
      <c r="I13" s="8"/>
      <c r="J13" s="89"/>
      <c r="K13" s="68" t="str">
        <f>IFERROR(__xludf.DUMMYFUNCTION("""COMPUTED_VALUE"""),"T nr")</f>
        <v>T nr</v>
      </c>
      <c r="L13" s="69" t="str">
        <f>IFERROR(__xludf.DUMMYFUNCTION("""COMPUTED_VALUE"""),"Qali")</f>
        <v>Qali</v>
      </c>
      <c r="M13" s="70" t="str">
        <f>IFERROR(__xludf.DUMMYFUNCTION("""COMPUTED_VALUE"""),"Nr")</f>
        <v>Nr</v>
      </c>
      <c r="N13" s="69" t="str">
        <f>IFERROR(__xludf.DUMMYFUNCTION("""COMPUTED_VALUE"""),"Driver")</f>
        <v>Driver</v>
      </c>
      <c r="O13" s="71" t="str">
        <f>IFERROR(__xludf.DUMMYFUNCTION("""COMPUTED_VALUE"""),"V")</f>
        <v>V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9" t="str">
        <f>IFERROR(__xludf.DUMMYFUNCTION("""COMPUTED_VALUE"""),"PIT PIT PIT!!!")</f>
        <v>PIT PIT PIT!!!</v>
      </c>
      <c r="AC13" s="8"/>
      <c r="AD13" s="57"/>
      <c r="AE13" s="68" t="str">
        <f>IFERROR(__xludf.DUMMYFUNCTION("""COMPUTED_VALUE"""),"T nr")</f>
        <v>T nr</v>
      </c>
      <c r="AF13" s="69" t="str">
        <f>IFERROR(__xludf.DUMMYFUNCTION("""COMPUTED_VALUE"""),"Qali")</f>
        <v>Qali</v>
      </c>
      <c r="AG13" s="70" t="str">
        <f>IFERROR(__xludf.DUMMYFUNCTION("""COMPUTED_VALUE"""),"Nr")</f>
        <v>Nr</v>
      </c>
      <c r="AH13" s="69" t="str">
        <f>IFERROR(__xludf.DUMMYFUNCTION("""COMPUTED_VALUE"""),"Driver")</f>
        <v>Driver</v>
      </c>
      <c r="AI13" s="71" t="str">
        <f>IFERROR(__xludf.DUMMYFUNCTION("""COMPUTED_VALUE"""),"V")</f>
        <v>V</v>
      </c>
      <c r="AJ13" s="88"/>
      <c r="AK13" s="8"/>
      <c r="AL13" s="8"/>
      <c r="AM13" s="8"/>
      <c r="AN13" s="89"/>
      <c r="AO13" s="77" t="str">
        <f>IFERROR(__xludf.DUMMYFUNCTION("""COMPUTED_VALUE"""),"10a")</f>
        <v>10a</v>
      </c>
      <c r="AP13" s="78">
        <f>IFERROR(__xludf.DUMMYFUNCTION("""COMPUTED_VALUE"""),18.0)</f>
        <v>18</v>
      </c>
      <c r="AQ13" s="78">
        <f>IFERROR(__xludf.DUMMYFUNCTION("""COMPUTED_VALUE"""),444.0)</f>
        <v>444</v>
      </c>
      <c r="AR13" s="81" t="str">
        <f>IFERROR(__xludf.DUMMYFUNCTION("""COMPUTED_VALUE"""),"Wojciech Denis")</f>
        <v>Wojciech Denis</v>
      </c>
      <c r="AS13" s="82" t="str">
        <f>IFERROR(__xludf.DUMMYFUNCTION("""COMPUTED_VALUE"""),"V")</f>
        <v>V</v>
      </c>
    </row>
    <row r="14">
      <c r="A14" s="88"/>
      <c r="B14" s="8"/>
      <c r="C14" s="8"/>
      <c r="D14" s="8"/>
      <c r="E14" s="89"/>
      <c r="F14" s="88"/>
      <c r="G14" s="8"/>
      <c r="H14" s="8"/>
      <c r="I14" s="8"/>
      <c r="J14" s="89"/>
      <c r="K14" s="77">
        <f>IFERROR(__xludf.DUMMYFUNCTION("""COMPUTED_VALUE"""),25.0)</f>
        <v>25</v>
      </c>
      <c r="L14" s="78">
        <f>IFERROR(__xludf.DUMMYFUNCTION("""COMPUTED_VALUE"""),1.0)</f>
        <v>1</v>
      </c>
      <c r="M14" s="78">
        <f>IFERROR(__xludf.DUMMYFUNCTION("""COMPUTED_VALUE"""),895.0)</f>
        <v>895</v>
      </c>
      <c r="N14" s="81" t="str">
        <f>IFERROR(__xludf.DUMMYFUNCTION("""COMPUTED_VALUE"""),"Siim Voort")</f>
        <v>Siim Voort</v>
      </c>
      <c r="O14" s="82" t="str">
        <f>IFERROR(__xludf.DUMMYFUNCTION("""COMPUTED_VALUE"""),"V")</f>
        <v>V</v>
      </c>
      <c r="P14" s="8"/>
      <c r="Q14" s="8"/>
      <c r="R14" s="8"/>
      <c r="S14" s="8"/>
      <c r="T14" s="8"/>
      <c r="U14" s="64"/>
      <c r="V14" s="64"/>
      <c r="W14" s="64"/>
      <c r="X14" s="64"/>
      <c r="Y14" s="64"/>
      <c r="Z14" s="8"/>
      <c r="AA14" s="8"/>
      <c r="AB14" s="8"/>
      <c r="AC14" s="8"/>
      <c r="AD14" s="57"/>
      <c r="AE14" s="77">
        <f>IFERROR(__xludf.DUMMYFUNCTION("""COMPUTED_VALUE"""),27.0)</f>
        <v>27</v>
      </c>
      <c r="AF14" s="78">
        <f>IFERROR(__xludf.DUMMYFUNCTION("""COMPUTED_VALUE"""),31.0)</f>
        <v>31</v>
      </c>
      <c r="AG14" s="78">
        <f>IFERROR(__xludf.DUMMYFUNCTION("""COMPUTED_VALUE"""),9.0)</f>
        <v>9</v>
      </c>
      <c r="AH14" s="81" t="str">
        <f>IFERROR(__xludf.DUMMYFUNCTION("""COMPUTED_VALUE"""),"Benas Jonutis")</f>
        <v>Benas Jonutis</v>
      </c>
      <c r="AI14" s="82" t="str">
        <f>IFERROR(__xludf.DUMMYFUNCTION("""COMPUTED_VALUE"""),"V")</f>
        <v>V</v>
      </c>
      <c r="AJ14" s="88"/>
      <c r="AK14" s="8"/>
      <c r="AL14" s="8"/>
      <c r="AM14" s="8"/>
      <c r="AN14" s="89"/>
      <c r="AO14" s="88"/>
      <c r="AP14" s="8"/>
      <c r="AQ14" s="8" t="str">
        <f>IFERROR(__xludf.DUMMYFUNCTION("""COMPUTED_VALUE"""),"")</f>
        <v/>
      </c>
      <c r="AR14" s="8" t="str">
        <f>IFERROR(__xludf.DUMMYFUNCTION("""COMPUTED_VALUE"""),"")</f>
        <v/>
      </c>
      <c r="AS14" s="89"/>
    </row>
    <row r="15">
      <c r="A15" s="68"/>
      <c r="B15" s="69"/>
      <c r="C15" s="69"/>
      <c r="D15" s="69"/>
      <c r="E15" s="82"/>
      <c r="F15" s="88"/>
      <c r="G15" s="8"/>
      <c r="H15" s="8"/>
      <c r="I15" s="8"/>
      <c r="J15" s="89"/>
      <c r="K15" s="77" t="str">
        <f>IFERROR(__xludf.DUMMYFUNCTION("""COMPUTED_VALUE"""),"25a")</f>
        <v>25a</v>
      </c>
      <c r="L15" s="78">
        <f>IFERROR(__xludf.DUMMYFUNCTION("""COMPUTED_VALUE"""),8.0)</f>
        <v>8</v>
      </c>
      <c r="M15" s="78">
        <f>IFERROR(__xludf.DUMMYFUNCTION("""COMPUTED_VALUE"""),401.0)</f>
        <v>401</v>
      </c>
      <c r="N15" s="81" t="str">
        <f>IFERROR(__xludf.DUMMYFUNCTION("""COMPUTED_VALUE"""),"Artur Kula")</f>
        <v>Artur Kula</v>
      </c>
      <c r="O15" s="85" t="str">
        <f>IFERROR(__xludf.DUMMYFUNCTION("""COMPUTED_VALUE"""),"")</f>
        <v/>
      </c>
      <c r="P15" s="15"/>
      <c r="Q15" s="15"/>
      <c r="R15" s="15"/>
      <c r="S15" s="15"/>
      <c r="T15" s="89"/>
      <c r="U15" s="49" t="str">
        <f>IFERROR(__xludf.DUMMYFUNCTION("""COMPUTED_VALUE"""),"FINAL")</f>
        <v>FINAL</v>
      </c>
      <c r="V15" s="50"/>
      <c r="W15" s="50"/>
      <c r="X15" s="50"/>
      <c r="Y15" s="52"/>
      <c r="Z15" s="8"/>
      <c r="AA15" s="8"/>
      <c r="AB15" s="8"/>
      <c r="AC15" s="8"/>
      <c r="AD15" s="57"/>
      <c r="AE15" s="77" t="str">
        <f>IFERROR(__xludf.DUMMYFUNCTION("""COMPUTED_VALUE"""),"27a")</f>
        <v>27a</v>
      </c>
      <c r="AF15" s="78">
        <f>IFERROR(__xludf.DUMMYFUNCTION("""COMPUTED_VALUE"""),26.0)</f>
        <v>26</v>
      </c>
      <c r="AG15" s="78">
        <f>IFERROR(__xludf.DUMMYFUNCTION("""COMPUTED_VALUE"""),78.0)</f>
        <v>78</v>
      </c>
      <c r="AH15" s="81" t="str">
        <f>IFERROR(__xludf.DUMMYFUNCTION("""COMPUTED_VALUE"""),"William Diaz-Santiago")</f>
        <v>William Diaz-Santiago</v>
      </c>
      <c r="AI15" s="85" t="str">
        <f>IFERROR(__xludf.DUMMYFUNCTION("""COMPUTED_VALUE"""),"")</f>
        <v/>
      </c>
      <c r="AJ15" s="88"/>
      <c r="AK15" s="8"/>
      <c r="AL15" s="8"/>
      <c r="AM15" s="8"/>
      <c r="AN15" s="89"/>
      <c r="AO15" s="68"/>
      <c r="AP15" s="69"/>
      <c r="AQ15" s="69" t="str">
        <f>IFERROR(__xludf.DUMMYFUNCTION("""COMPUTED_VALUE"""),"")</f>
        <v/>
      </c>
      <c r="AR15" s="69" t="str">
        <f>IFERROR(__xludf.DUMMYFUNCTION("""COMPUTED_VALUE"""),"")</f>
        <v/>
      </c>
      <c r="AS15" s="82"/>
    </row>
    <row r="16">
      <c r="A16" s="77">
        <f>IFERROR(__xludf.DUMMYFUNCTION("""COMPUTED_VALUE"""),3.0)</f>
        <v>3</v>
      </c>
      <c r="B16" s="78">
        <f>IFERROR(__xludf.DUMMYFUNCTION("""COMPUTED_VALUE"""),8.0)</f>
        <v>8</v>
      </c>
      <c r="C16" s="78">
        <f>IFERROR(__xludf.DUMMYFUNCTION("""COMPUTED_VALUE"""),401.0)</f>
        <v>401</v>
      </c>
      <c r="D16" s="81" t="str">
        <f>IFERROR(__xludf.DUMMYFUNCTION("""COMPUTED_VALUE"""),"Artur Kula")</f>
        <v>Artur Kula</v>
      </c>
      <c r="E16" s="85" t="str">
        <f>IFERROR(__xludf.DUMMYFUNCTION("""COMPUTED_VALUE"""),"V")</f>
        <v>V</v>
      </c>
      <c r="F16" s="88"/>
      <c r="G16" s="8"/>
      <c r="H16" s="8"/>
      <c r="I16" s="8"/>
      <c r="J16" s="89"/>
      <c r="K16" s="88"/>
      <c r="L16" s="8"/>
      <c r="M16" s="8"/>
      <c r="N16" s="8"/>
      <c r="O16" s="89"/>
      <c r="P16" s="15"/>
      <c r="Q16" s="15"/>
      <c r="R16" s="15"/>
      <c r="S16" s="15"/>
      <c r="T16" s="89"/>
      <c r="U16" s="61"/>
      <c r="Y16" s="63"/>
      <c r="Z16" s="8"/>
      <c r="AA16" s="8"/>
      <c r="AB16" s="8"/>
      <c r="AC16" s="8"/>
      <c r="AD16" s="57"/>
      <c r="AE16" s="88"/>
      <c r="AF16" s="8"/>
      <c r="AG16" s="8"/>
      <c r="AH16" s="8"/>
      <c r="AI16" s="89"/>
      <c r="AJ16" s="88"/>
      <c r="AK16" s="8"/>
      <c r="AL16" s="8"/>
      <c r="AM16" s="8"/>
      <c r="AN16" s="89"/>
      <c r="AO16" s="77">
        <f>IFERROR(__xludf.DUMMYFUNCTION("""COMPUTED_VALUE"""),11.0)</f>
        <v>11</v>
      </c>
      <c r="AP16" s="78">
        <f>IFERROR(__xludf.DUMMYFUNCTION("""COMPUTED_VALUE"""),7.0)</f>
        <v>7</v>
      </c>
      <c r="AQ16" s="78">
        <f>IFERROR(__xludf.DUMMYFUNCTION("""COMPUTED_VALUE"""),336.0)</f>
        <v>336</v>
      </c>
      <c r="AR16" s="81" t="str">
        <f>IFERROR(__xludf.DUMMYFUNCTION("""COMPUTED_VALUE"""),"Darius Ostreika")</f>
        <v>Darius Ostreika</v>
      </c>
      <c r="AS16" s="82" t="str">
        <f>IFERROR(__xludf.DUMMYFUNCTION("""COMPUTED_VALUE"""),"")</f>
        <v/>
      </c>
    </row>
    <row r="17">
      <c r="A17" s="77" t="str">
        <f>IFERROR(__xludf.DUMMYFUNCTION("""COMPUTED_VALUE"""),"3a")</f>
        <v>3a</v>
      </c>
      <c r="B17" s="78">
        <f>IFERROR(__xludf.DUMMYFUNCTION("""COMPUTED_VALUE"""),25.0)</f>
        <v>25</v>
      </c>
      <c r="C17" s="78">
        <f>IFERROR(__xludf.DUMMYFUNCTION("""COMPUTED_VALUE"""),743.0)</f>
        <v>743</v>
      </c>
      <c r="D17" s="81" t="str">
        <f>IFERROR(__xludf.DUMMYFUNCTION("""COMPUTED_VALUE"""),"Danielis Soltysiakas")</f>
        <v>Danielis Soltysiakas</v>
      </c>
      <c r="E17" s="82" t="str">
        <f>IFERROR(__xludf.DUMMYFUNCTION("""COMPUTED_VALUE"""),"")</f>
        <v/>
      </c>
      <c r="F17" s="68"/>
      <c r="G17" s="69"/>
      <c r="H17" s="69"/>
      <c r="I17" s="69"/>
      <c r="J17" s="82"/>
      <c r="K17" s="88"/>
      <c r="L17" s="8"/>
      <c r="M17" s="8"/>
      <c r="N17" s="8"/>
      <c r="O17" s="89"/>
      <c r="P17" s="8"/>
      <c r="Q17" s="8"/>
      <c r="R17" s="8"/>
      <c r="S17" s="8"/>
      <c r="T17" s="57"/>
      <c r="U17" s="68" t="str">
        <f>IFERROR(__xludf.DUMMYFUNCTION("""COMPUTED_VALUE"""),"T nr")</f>
        <v>T nr</v>
      </c>
      <c r="V17" s="69" t="str">
        <f>IFERROR(__xludf.DUMMYFUNCTION("""COMPUTED_VALUE"""),"Qali")</f>
        <v>Qali</v>
      </c>
      <c r="W17" s="70" t="str">
        <f>IFERROR(__xludf.DUMMYFUNCTION("""COMPUTED_VALUE"""),"Nr")</f>
        <v>Nr</v>
      </c>
      <c r="X17" s="69" t="str">
        <f>IFERROR(__xludf.DUMMYFUNCTION("""COMPUTED_VALUE"""),"Driver")</f>
        <v>Driver</v>
      </c>
      <c r="Y17" s="71" t="str">
        <f>IFERROR(__xludf.DUMMYFUNCTION("""COMPUTED_VALUE"""),"V")</f>
        <v>V</v>
      </c>
      <c r="Z17" s="8"/>
      <c r="AA17" s="8"/>
      <c r="AB17" s="8"/>
      <c r="AC17" s="8"/>
      <c r="AD17" s="57"/>
      <c r="AE17" s="88"/>
      <c r="AF17" s="8"/>
      <c r="AG17" s="8"/>
      <c r="AH17" s="8"/>
      <c r="AI17" s="89"/>
      <c r="AJ17" s="68"/>
      <c r="AK17" s="69"/>
      <c r="AL17" s="69"/>
      <c r="AM17" s="69"/>
      <c r="AN17" s="82"/>
      <c r="AO17" s="77" t="str">
        <f>IFERROR(__xludf.DUMMYFUNCTION("""COMPUTED_VALUE"""),"11a")</f>
        <v>11a</v>
      </c>
      <c r="AP17" s="78">
        <f>IFERROR(__xludf.DUMMYFUNCTION("""COMPUTED_VALUE"""),26.0)</f>
        <v>26</v>
      </c>
      <c r="AQ17" s="78">
        <f>IFERROR(__xludf.DUMMYFUNCTION("""COMPUTED_VALUE"""),78.0)</f>
        <v>78</v>
      </c>
      <c r="AR17" s="81" t="str">
        <f>IFERROR(__xludf.DUMMYFUNCTION("""COMPUTED_VALUE"""),"William Diaz-Santiago")</f>
        <v>William Diaz-Santiago</v>
      </c>
      <c r="AS17" s="85" t="str">
        <f>IFERROR(__xludf.DUMMYFUNCTION("""COMPUTED_VALUE"""),"V")</f>
        <v>V</v>
      </c>
    </row>
    <row r="18">
      <c r="A18" s="88"/>
      <c r="B18" s="8"/>
      <c r="C18" s="8"/>
      <c r="D18" s="8"/>
      <c r="E18" s="89"/>
      <c r="F18" s="77">
        <f>IFERROR(__xludf.DUMMYFUNCTION("""COMPUTED_VALUE"""),18.0)</f>
        <v>18</v>
      </c>
      <c r="G18" s="78">
        <f>IFERROR(__xludf.DUMMYFUNCTION("""COMPUTED_VALUE"""),8.0)</f>
        <v>8</v>
      </c>
      <c r="H18" s="78">
        <f>IFERROR(__xludf.DUMMYFUNCTION("""COMPUTED_VALUE"""),401.0)</f>
        <v>401</v>
      </c>
      <c r="I18" s="81" t="str">
        <f>IFERROR(__xludf.DUMMYFUNCTION("""COMPUTED_VALUE"""),"Artur Kula")</f>
        <v>Artur Kula</v>
      </c>
      <c r="J18" s="85" t="str">
        <f>IFERROR(__xludf.DUMMYFUNCTION("""COMPUTED_VALUE"""),"V")</f>
        <v>V</v>
      </c>
      <c r="K18" s="88"/>
      <c r="L18" s="8"/>
      <c r="M18" s="8"/>
      <c r="N18" s="8"/>
      <c r="O18" s="89"/>
      <c r="P18" s="64"/>
      <c r="Q18" s="64"/>
      <c r="R18" s="64"/>
      <c r="S18" s="64"/>
      <c r="T18" s="67"/>
      <c r="U18" s="77">
        <f>IFERROR(__xludf.DUMMYFUNCTION("""COMPUTED_VALUE"""),32.0)</f>
        <v>32</v>
      </c>
      <c r="V18" s="78">
        <f>IFERROR(__xludf.DUMMYFUNCTION("""COMPUTED_VALUE"""),5.0)</f>
        <v>5</v>
      </c>
      <c r="W18" s="78">
        <f>IFERROR(__xludf.DUMMYFUNCTION("""COMPUTED_VALUE"""),410.0)</f>
        <v>410</v>
      </c>
      <c r="X18" s="81" t="str">
        <f>IFERROR(__xludf.DUMMYFUNCTION("""COMPUTED_VALUE"""),"Chase Cronin")</f>
        <v>Chase Cronin</v>
      </c>
      <c r="Y18" s="85" t="str">
        <f>IFERROR(__xludf.DUMMYFUNCTION("""COMPUTED_VALUE"""),"V")</f>
        <v>V</v>
      </c>
      <c r="Z18" s="64"/>
      <c r="AA18" s="64"/>
      <c r="AB18" s="64"/>
      <c r="AC18" s="64"/>
      <c r="AD18" s="67"/>
      <c r="AE18" s="88"/>
      <c r="AF18" s="8"/>
      <c r="AG18" s="8"/>
      <c r="AH18" s="8"/>
      <c r="AI18" s="89"/>
      <c r="AJ18" s="77">
        <f>IFERROR(__xludf.DUMMYFUNCTION("""COMPUTED_VALUE"""),22.0)</f>
        <v>22</v>
      </c>
      <c r="AK18" s="78">
        <f>IFERROR(__xludf.DUMMYFUNCTION("""COMPUTED_VALUE"""),26.0)</f>
        <v>26</v>
      </c>
      <c r="AL18" s="78">
        <f>IFERROR(__xludf.DUMMYFUNCTION("""COMPUTED_VALUE"""),78.0)</f>
        <v>78</v>
      </c>
      <c r="AM18" s="81" t="str">
        <f>IFERROR(__xludf.DUMMYFUNCTION("""COMPUTED_VALUE"""),"William Diaz-Santiago")</f>
        <v>William Diaz-Santiago</v>
      </c>
      <c r="AN18" s="82" t="str">
        <f>IFERROR(__xludf.DUMMYFUNCTION("""COMPUTED_VALUE"""),"V")</f>
        <v>V</v>
      </c>
      <c r="AO18" s="88"/>
      <c r="AP18" s="8"/>
      <c r="AQ18" s="8" t="str">
        <f>IFERROR(__xludf.DUMMYFUNCTION("""COMPUTED_VALUE"""),"")</f>
        <v/>
      </c>
      <c r="AR18" s="8" t="str">
        <f>IFERROR(__xludf.DUMMYFUNCTION("""COMPUTED_VALUE"""),"")</f>
        <v/>
      </c>
      <c r="AS18" s="89"/>
    </row>
    <row r="19">
      <c r="A19" s="68"/>
      <c r="B19" s="69"/>
      <c r="C19" s="69"/>
      <c r="D19" s="69"/>
      <c r="E19" s="82"/>
      <c r="F19" s="77" t="str">
        <f>IFERROR(__xludf.DUMMYFUNCTION("""COMPUTED_VALUE"""),"18a")</f>
        <v>18a</v>
      </c>
      <c r="G19" s="78">
        <f>IFERROR(__xludf.DUMMYFUNCTION("""COMPUTED_VALUE"""),9.0)</f>
        <v>9</v>
      </c>
      <c r="H19" s="78">
        <f>IFERROR(__xludf.DUMMYFUNCTION("""COMPUTED_VALUE"""),18.0)</f>
        <v>18</v>
      </c>
      <c r="I19" s="81" t="str">
        <f>IFERROR(__xludf.DUMMYFUNCTION("""COMPUTED_VALUE"""),"Matīss Lācis")</f>
        <v>Matīss Lācis</v>
      </c>
      <c r="J19" s="82" t="str">
        <f>IFERROR(__xludf.DUMMYFUNCTION("""COMPUTED_VALUE"""),"")</f>
        <v/>
      </c>
      <c r="K19" s="88"/>
      <c r="L19" s="8"/>
      <c r="M19" s="8"/>
      <c r="N19" s="8"/>
      <c r="O19" s="89"/>
      <c r="P19" s="49" t="str">
        <f>IFERROR(__xludf.DUMMYFUNCTION("""COMPUTED_VALUE"""),"TOP 4")</f>
        <v>TOP 4</v>
      </c>
      <c r="Q19" s="50"/>
      <c r="R19" s="50"/>
      <c r="S19" s="50"/>
      <c r="T19" s="52"/>
      <c r="U19" s="92" t="str">
        <f>IFERROR(__xludf.DUMMYFUNCTION("""COMPUTED_VALUE"""),"32a")</f>
        <v>32a</v>
      </c>
      <c r="V19" s="93">
        <f>IFERROR(__xludf.DUMMYFUNCTION("""COMPUTED_VALUE"""),6.0)</f>
        <v>6</v>
      </c>
      <c r="W19" s="93">
        <f>IFERROR(__xludf.DUMMYFUNCTION("""COMPUTED_VALUE"""),41.0)</f>
        <v>41</v>
      </c>
      <c r="X19" s="94" t="str">
        <f>IFERROR(__xludf.DUMMYFUNCTION("""COMPUTED_VALUE"""),"Armands Vestmanis")</f>
        <v>Armands Vestmanis</v>
      </c>
      <c r="Y19" s="95" t="str">
        <f>IFERROR(__xludf.DUMMYFUNCTION("""COMPUTED_VALUE"""),"")</f>
        <v/>
      </c>
      <c r="Z19" s="49" t="str">
        <f>IFERROR(__xludf.DUMMYFUNCTION("""COMPUTED_VALUE"""),"TOP 4")</f>
        <v>TOP 4</v>
      </c>
      <c r="AA19" s="50"/>
      <c r="AB19" s="50"/>
      <c r="AC19" s="50"/>
      <c r="AD19" s="52"/>
      <c r="AE19" s="88"/>
      <c r="AF19" s="8"/>
      <c r="AG19" s="8"/>
      <c r="AH19" s="8"/>
      <c r="AI19" s="89"/>
      <c r="AJ19" s="77" t="str">
        <f>IFERROR(__xludf.DUMMYFUNCTION("""COMPUTED_VALUE"""),"22a")</f>
        <v>22a</v>
      </c>
      <c r="AK19" s="78">
        <f>IFERROR(__xludf.DUMMYFUNCTION("""COMPUTED_VALUE"""),23.0)</f>
        <v>23</v>
      </c>
      <c r="AL19" s="78">
        <f>IFERROR(__xludf.DUMMYFUNCTION("""COMPUTED_VALUE"""),222.0)</f>
        <v>222</v>
      </c>
      <c r="AM19" s="81" t="str">
        <f>IFERROR(__xludf.DUMMYFUNCTION("""COMPUTED_VALUE"""),"Edvinas Murauskas")</f>
        <v>Edvinas Murauskas</v>
      </c>
      <c r="AN19" s="85" t="str">
        <f>IFERROR(__xludf.DUMMYFUNCTION("""COMPUTED_VALUE"""),"")</f>
        <v/>
      </c>
      <c r="AO19" s="68"/>
      <c r="AP19" s="69"/>
      <c r="AQ19" s="69" t="str">
        <f>IFERROR(__xludf.DUMMYFUNCTION("""COMPUTED_VALUE"""),"")</f>
        <v/>
      </c>
      <c r="AR19" s="69" t="str">
        <f>IFERROR(__xludf.DUMMYFUNCTION("""COMPUTED_VALUE"""),"")</f>
        <v/>
      </c>
      <c r="AS19" s="82"/>
    </row>
    <row r="20">
      <c r="A20" s="77">
        <f>IFERROR(__xludf.DUMMYFUNCTION("""COMPUTED_VALUE"""),4.0)</f>
        <v>4</v>
      </c>
      <c r="B20" s="78">
        <f>IFERROR(__xludf.DUMMYFUNCTION("""COMPUTED_VALUE"""),9.0)</f>
        <v>9</v>
      </c>
      <c r="C20" s="78">
        <f>IFERROR(__xludf.DUMMYFUNCTION("""COMPUTED_VALUE"""),18.0)</f>
        <v>18</v>
      </c>
      <c r="D20" s="81" t="str">
        <f>IFERROR(__xludf.DUMMYFUNCTION("""COMPUTED_VALUE"""),"Matīss Lācis")</f>
        <v>Matīss Lācis</v>
      </c>
      <c r="E20" s="85" t="str">
        <f>IFERROR(__xludf.DUMMYFUNCTION("""COMPUTED_VALUE"""),"V")</f>
        <v>V</v>
      </c>
      <c r="F20" s="88"/>
      <c r="G20" s="8"/>
      <c r="H20" s="8"/>
      <c r="I20" s="8"/>
      <c r="J20" s="89"/>
      <c r="K20" s="88"/>
      <c r="L20" s="8"/>
      <c r="M20" s="8"/>
      <c r="N20" s="8"/>
      <c r="O20" s="89"/>
      <c r="P20" s="61"/>
      <c r="T20" s="63"/>
      <c r="U20" s="88"/>
      <c r="V20" s="8"/>
      <c r="W20" s="8"/>
      <c r="X20" s="8"/>
      <c r="Y20" s="57"/>
      <c r="Z20" s="61"/>
      <c r="AD20" s="63"/>
      <c r="AE20" s="88"/>
      <c r="AF20" s="8"/>
      <c r="AG20" s="8"/>
      <c r="AH20" s="8"/>
      <c r="AI20" s="89"/>
      <c r="AJ20" s="88"/>
      <c r="AK20" s="8"/>
      <c r="AL20" s="8"/>
      <c r="AM20" s="8"/>
      <c r="AN20" s="89"/>
      <c r="AO20" s="77">
        <f>IFERROR(__xludf.DUMMYFUNCTION("""COMPUTED_VALUE"""),12.0)</f>
        <v>12</v>
      </c>
      <c r="AP20" s="78">
        <f>IFERROR(__xludf.DUMMYFUNCTION("""COMPUTED_VALUE"""),10.0)</f>
        <v>10</v>
      </c>
      <c r="AQ20" s="78">
        <f>IFERROR(__xludf.DUMMYFUNCTION("""COMPUTED_VALUE"""),414.0)</f>
        <v>414</v>
      </c>
      <c r="AR20" s="81" t="str">
        <f>IFERROR(__xludf.DUMMYFUNCTION("""COMPUTED_VALUE"""),"Tytus Rosiński")</f>
        <v>Tytus Rosiński</v>
      </c>
      <c r="AS20" s="82" t="str">
        <f>IFERROR(__xludf.DUMMYFUNCTION("""COMPUTED_VALUE"""),"")</f>
        <v/>
      </c>
    </row>
    <row r="21">
      <c r="A21" s="77" t="str">
        <f>IFERROR(__xludf.DUMMYFUNCTION("""COMPUTED_VALUE"""),"4a")</f>
        <v>4a</v>
      </c>
      <c r="B21" s="78">
        <f>IFERROR(__xludf.DUMMYFUNCTION("""COMPUTED_VALUE"""),24.0)</f>
        <v>24</v>
      </c>
      <c r="C21" s="78">
        <f>IFERROR(__xludf.DUMMYFUNCTION("""COMPUTED_VALUE"""),19.0)</f>
        <v>19</v>
      </c>
      <c r="D21" s="81" t="str">
        <f>IFERROR(__xludf.DUMMYFUNCTION("""COMPUTED_VALUE"""),"Miłosz Gawin")</f>
        <v>Miłosz Gawin</v>
      </c>
      <c r="E21" s="82" t="str">
        <f>IFERROR(__xludf.DUMMYFUNCTION("""COMPUTED_VALUE"""),"")</f>
        <v/>
      </c>
      <c r="F21" s="88"/>
      <c r="G21" s="8"/>
      <c r="H21" s="8"/>
      <c r="I21" s="8"/>
      <c r="J21" s="89"/>
      <c r="K21" s="88"/>
      <c r="L21" s="8"/>
      <c r="M21" s="8"/>
      <c r="N21" s="8"/>
      <c r="O21" s="89"/>
      <c r="P21" s="68" t="str">
        <f>IFERROR(__xludf.DUMMYFUNCTION("""COMPUTED_VALUE"""),"T nr")</f>
        <v>T nr</v>
      </c>
      <c r="Q21" s="69" t="str">
        <f>IFERROR(__xludf.DUMMYFUNCTION("""COMPUTED_VALUE"""),"Qali")</f>
        <v>Qali</v>
      </c>
      <c r="R21" s="70" t="str">
        <f>IFERROR(__xludf.DUMMYFUNCTION("""COMPUTED_VALUE"""),"Nr")</f>
        <v>Nr</v>
      </c>
      <c r="S21" s="69" t="str">
        <f>IFERROR(__xludf.DUMMYFUNCTION("""COMPUTED_VALUE"""),"Driver")</f>
        <v>Driver</v>
      </c>
      <c r="T21" s="71" t="str">
        <f>IFERROR(__xludf.DUMMYFUNCTION("""COMPUTED_VALUE"""),"V")</f>
        <v>V</v>
      </c>
      <c r="U21" s="88"/>
      <c r="V21" s="8"/>
      <c r="W21" s="8"/>
      <c r="X21" s="8"/>
      <c r="Y21" s="57"/>
      <c r="Z21" s="68" t="str">
        <f>IFERROR(__xludf.DUMMYFUNCTION("""COMPUTED_VALUE"""),"T nr")</f>
        <v>T nr</v>
      </c>
      <c r="AA21" s="69" t="str">
        <f>IFERROR(__xludf.DUMMYFUNCTION("""COMPUTED_VALUE"""),"Qali")</f>
        <v>Qali</v>
      </c>
      <c r="AB21" s="70" t="str">
        <f>IFERROR(__xludf.DUMMYFUNCTION("""COMPUTED_VALUE"""),"Nr")</f>
        <v>Nr</v>
      </c>
      <c r="AC21" s="69" t="str">
        <f>IFERROR(__xludf.DUMMYFUNCTION("""COMPUTED_VALUE"""),"Driver")</f>
        <v>Driver</v>
      </c>
      <c r="AD21" s="71" t="str">
        <f>IFERROR(__xludf.DUMMYFUNCTION("""COMPUTED_VALUE"""),"V")</f>
        <v>V</v>
      </c>
      <c r="AE21" s="88"/>
      <c r="AF21" s="8"/>
      <c r="AG21" s="8"/>
      <c r="AH21" s="8"/>
      <c r="AI21" s="89"/>
      <c r="AJ21" s="88"/>
      <c r="AK21" s="8"/>
      <c r="AL21" s="8"/>
      <c r="AM21" s="8"/>
      <c r="AN21" s="89"/>
      <c r="AO21" s="77" t="str">
        <f>IFERROR(__xludf.DUMMYFUNCTION("""COMPUTED_VALUE"""),"12a")</f>
        <v>12a</v>
      </c>
      <c r="AP21" s="78">
        <f>IFERROR(__xludf.DUMMYFUNCTION("""COMPUTED_VALUE"""),23.0)</f>
        <v>23</v>
      </c>
      <c r="AQ21" s="78">
        <f>IFERROR(__xludf.DUMMYFUNCTION("""COMPUTED_VALUE"""),222.0)</f>
        <v>222</v>
      </c>
      <c r="AR21" s="81" t="str">
        <f>IFERROR(__xludf.DUMMYFUNCTION("""COMPUTED_VALUE"""),"Edvinas Murauskas")</f>
        <v>Edvinas Murauskas</v>
      </c>
      <c r="AS21" s="85" t="str">
        <f>IFERROR(__xludf.DUMMYFUNCTION("""COMPUTED_VALUE"""),"V")</f>
        <v>V</v>
      </c>
    </row>
    <row r="22">
      <c r="A22" s="88"/>
      <c r="B22" s="8"/>
      <c r="C22" s="8"/>
      <c r="D22" s="8"/>
      <c r="E22" s="89"/>
      <c r="F22" s="88"/>
      <c r="G22" s="8"/>
      <c r="H22" s="8"/>
      <c r="I22" s="8"/>
      <c r="J22" s="89"/>
      <c r="K22" s="88"/>
      <c r="L22" s="8"/>
      <c r="M22" s="8"/>
      <c r="N22" s="8"/>
      <c r="O22" s="89"/>
      <c r="P22" s="77">
        <f>IFERROR(__xludf.DUMMYFUNCTION("""COMPUTED_VALUE"""),29.0)</f>
        <v>29</v>
      </c>
      <c r="Q22" s="78">
        <f>IFERROR(__xludf.DUMMYFUNCTION("""COMPUTED_VALUE"""),1.0)</f>
        <v>1</v>
      </c>
      <c r="R22" s="78">
        <f>IFERROR(__xludf.DUMMYFUNCTION("""COMPUTED_VALUE"""),895.0)</f>
        <v>895</v>
      </c>
      <c r="S22" s="81" t="str">
        <f>IFERROR(__xludf.DUMMYFUNCTION("""COMPUTED_VALUE"""),"Siim Voort")</f>
        <v>Siim Voort</v>
      </c>
      <c r="T22" s="85" t="str">
        <f>IFERROR(__xludf.DUMMYFUNCTION("""COMPUTED_VALUE"""),"")</f>
        <v/>
      </c>
      <c r="U22" s="88"/>
      <c r="V22" s="8"/>
      <c r="W22" s="8"/>
      <c r="X22" s="8"/>
      <c r="Y22" s="57"/>
      <c r="Z22" s="77">
        <f>IFERROR(__xludf.DUMMYFUNCTION("""COMPUTED_VALUE"""),30.0)</f>
        <v>30</v>
      </c>
      <c r="AA22" s="78">
        <f>IFERROR(__xludf.DUMMYFUNCTION("""COMPUTED_VALUE"""),31.0)</f>
        <v>31</v>
      </c>
      <c r="AB22" s="78">
        <f>IFERROR(__xludf.DUMMYFUNCTION("""COMPUTED_VALUE"""),9.0)</f>
        <v>9</v>
      </c>
      <c r="AC22" s="81" t="str">
        <f>IFERROR(__xludf.DUMMYFUNCTION("""COMPUTED_VALUE"""),"Benas Jonutis")</f>
        <v>Benas Jonutis</v>
      </c>
      <c r="AD22" s="85" t="str">
        <f>IFERROR(__xludf.DUMMYFUNCTION("""COMPUTED_VALUE"""),"")</f>
        <v/>
      </c>
      <c r="AE22" s="88"/>
      <c r="AF22" s="8"/>
      <c r="AG22" s="8"/>
      <c r="AH22" s="8"/>
      <c r="AI22" s="89"/>
      <c r="AJ22" s="88"/>
      <c r="AK22" s="8"/>
      <c r="AL22" s="8"/>
      <c r="AM22" s="8"/>
      <c r="AN22" s="89"/>
      <c r="AO22" s="88"/>
      <c r="AP22" s="8"/>
      <c r="AQ22" s="8" t="str">
        <f>IFERROR(__xludf.DUMMYFUNCTION("""COMPUTED_VALUE"""),"")</f>
        <v/>
      </c>
      <c r="AR22" s="8" t="str">
        <f>IFERROR(__xludf.DUMMYFUNCTION("""COMPUTED_VALUE"""),"")</f>
        <v/>
      </c>
      <c r="AS22" s="89"/>
    </row>
    <row r="23">
      <c r="A23" s="68"/>
      <c r="B23" s="69"/>
      <c r="C23" s="69"/>
      <c r="D23" s="69"/>
      <c r="E23" s="82"/>
      <c r="F23" s="88"/>
      <c r="G23" s="8"/>
      <c r="H23" s="8"/>
      <c r="I23" s="8"/>
      <c r="J23" s="89"/>
      <c r="K23" s="88"/>
      <c r="L23" s="8"/>
      <c r="M23" s="8"/>
      <c r="N23" s="8"/>
      <c r="O23" s="89"/>
      <c r="P23" s="92" t="str">
        <f>IFERROR(__xludf.DUMMYFUNCTION("""COMPUTED_VALUE"""),"29a")</f>
        <v>29a</v>
      </c>
      <c r="Q23" s="93">
        <f>IFERROR(__xludf.DUMMYFUNCTION("""COMPUTED_VALUE"""),5.0)</f>
        <v>5</v>
      </c>
      <c r="R23" s="93">
        <f>IFERROR(__xludf.DUMMYFUNCTION("""COMPUTED_VALUE"""),410.0)</f>
        <v>410</v>
      </c>
      <c r="S23" s="94" t="str">
        <f>IFERROR(__xludf.DUMMYFUNCTION("""COMPUTED_VALUE"""),"Chase Cronin")</f>
        <v>Chase Cronin</v>
      </c>
      <c r="T23" s="95" t="str">
        <f>IFERROR(__xludf.DUMMYFUNCTION("""COMPUTED_VALUE"""),"V")</f>
        <v>V</v>
      </c>
      <c r="U23" s="103"/>
      <c r="V23" s="64"/>
      <c r="W23" s="64"/>
      <c r="X23" s="64"/>
      <c r="Y23" s="67"/>
      <c r="Z23" s="92" t="str">
        <f>IFERROR(__xludf.DUMMYFUNCTION("""COMPUTED_VALUE"""),"30a")</f>
        <v>30a</v>
      </c>
      <c r="AA23" s="93">
        <f>IFERROR(__xludf.DUMMYFUNCTION("""COMPUTED_VALUE"""),6.0)</f>
        <v>6</v>
      </c>
      <c r="AB23" s="93">
        <f>IFERROR(__xludf.DUMMYFUNCTION("""COMPUTED_VALUE"""),41.0)</f>
        <v>41</v>
      </c>
      <c r="AC23" s="94" t="str">
        <f>IFERROR(__xludf.DUMMYFUNCTION("""COMPUTED_VALUE"""),"Armands Vestmanis")</f>
        <v>Armands Vestmanis</v>
      </c>
      <c r="AD23" s="95" t="str">
        <f>IFERROR(__xludf.DUMMYFUNCTION("""COMPUTED_VALUE"""),"V")</f>
        <v>V</v>
      </c>
      <c r="AE23" s="88"/>
      <c r="AF23" s="8"/>
      <c r="AG23" s="8"/>
      <c r="AH23" s="8"/>
      <c r="AI23" s="89"/>
      <c r="AJ23" s="88"/>
      <c r="AK23" s="8"/>
      <c r="AL23" s="8"/>
      <c r="AM23" s="8"/>
      <c r="AN23" s="89"/>
      <c r="AO23" s="68"/>
      <c r="AP23" s="69"/>
      <c r="AQ23" s="69" t="str">
        <f>IFERROR(__xludf.DUMMYFUNCTION("""COMPUTED_VALUE"""),"")</f>
        <v/>
      </c>
      <c r="AR23" s="69" t="str">
        <f>IFERROR(__xludf.DUMMYFUNCTION("""COMPUTED_VALUE"""),"")</f>
        <v/>
      </c>
      <c r="AS23" s="82"/>
    </row>
    <row r="24">
      <c r="A24" s="77">
        <f>IFERROR(__xludf.DUMMYFUNCTION("""COMPUTED_VALUE"""),5.0)</f>
        <v>5</v>
      </c>
      <c r="B24" s="78">
        <f>IFERROR(__xludf.DUMMYFUNCTION("""COMPUTED_VALUE"""),4.0)</f>
        <v>4</v>
      </c>
      <c r="C24" s="78">
        <f>IFERROR(__xludf.DUMMYFUNCTION("""COMPUTED_VALUE"""),66.0)</f>
        <v>66</v>
      </c>
      <c r="D24" s="81" t="str">
        <f>IFERROR(__xludf.DUMMYFUNCTION("""COMPUTED_VALUE"""),"Juanan Jorques")</f>
        <v>Juanan Jorques</v>
      </c>
      <c r="E24" s="82" t="str">
        <f>IFERROR(__xludf.DUMMYFUNCTION("""COMPUTED_VALUE"""),"V")</f>
        <v>V</v>
      </c>
      <c r="F24" s="88"/>
      <c r="G24" s="8"/>
      <c r="H24" s="8"/>
      <c r="I24" s="8"/>
      <c r="J24" s="89"/>
      <c r="K24" s="88"/>
      <c r="L24" s="8"/>
      <c r="M24" s="8"/>
      <c r="N24" s="8"/>
      <c r="O24" s="89"/>
      <c r="P24" s="15"/>
      <c r="Q24" s="15"/>
      <c r="R24" s="15"/>
      <c r="S24" s="15"/>
      <c r="T24" s="89"/>
      <c r="U24" s="106" t="str">
        <f>IFERROR(__xludf.DUMMYFUNCTION("""COMPUTED_VALUE"""),"FOR 3rd")</f>
        <v>FOR 3rd</v>
      </c>
      <c r="Y24" s="63"/>
      <c r="Z24" s="8"/>
      <c r="AA24" s="8"/>
      <c r="AB24" s="8"/>
      <c r="AC24" s="8"/>
      <c r="AD24" s="57"/>
      <c r="AE24" s="88"/>
      <c r="AF24" s="8"/>
      <c r="AG24" s="8"/>
      <c r="AH24" s="8"/>
      <c r="AI24" s="89"/>
      <c r="AJ24" s="88"/>
      <c r="AK24" s="8"/>
      <c r="AL24" s="8"/>
      <c r="AM24" s="8"/>
      <c r="AN24" s="89"/>
      <c r="AO24" s="77">
        <f>IFERROR(__xludf.DUMMYFUNCTION("""COMPUTED_VALUE"""),13.0)</f>
        <v>13</v>
      </c>
      <c r="AP24" s="78">
        <f>IFERROR(__xludf.DUMMYFUNCTION("""COMPUTED_VALUE"""),3.0)</f>
        <v>3</v>
      </c>
      <c r="AQ24" s="78">
        <f>IFERROR(__xludf.DUMMYFUNCTION("""COMPUTED_VALUE"""),211.0)</f>
        <v>211</v>
      </c>
      <c r="AR24" s="81" t="str">
        <f>IFERROR(__xludf.DUMMYFUNCTION("""COMPUTED_VALUE"""),"David Laczko")</f>
        <v>David Laczko</v>
      </c>
      <c r="AS24" s="85" t="str">
        <f>IFERROR(__xludf.DUMMYFUNCTION("""COMPUTED_VALUE"""),"V")</f>
        <v>V</v>
      </c>
    </row>
    <row r="25">
      <c r="A25" s="77" t="str">
        <f>IFERROR(__xludf.DUMMYFUNCTION("""COMPUTED_VALUE"""),"5a")</f>
        <v>5a</v>
      </c>
      <c r="B25" s="78">
        <f>IFERROR(__xludf.DUMMYFUNCTION("""COMPUTED_VALUE"""),29.0)</f>
        <v>29</v>
      </c>
      <c r="C25" s="78">
        <f>IFERROR(__xludf.DUMMYFUNCTION("""COMPUTED_VALUE"""),808.0)</f>
        <v>808</v>
      </c>
      <c r="D25" s="81" t="str">
        <f>IFERROR(__xludf.DUMMYFUNCTION("""COMPUTED_VALUE"""),"Dima Baydin")</f>
        <v>Dima Baydin</v>
      </c>
      <c r="E25" s="85" t="str">
        <f>IFERROR(__xludf.DUMMYFUNCTION("""COMPUTED_VALUE"""),"")</f>
        <v/>
      </c>
      <c r="F25" s="68"/>
      <c r="G25" s="69"/>
      <c r="H25" s="69"/>
      <c r="I25" s="69"/>
      <c r="J25" s="82"/>
      <c r="K25" s="88"/>
      <c r="L25" s="8"/>
      <c r="M25" s="8"/>
      <c r="N25" s="8"/>
      <c r="O25" s="89"/>
      <c r="P25" s="15"/>
      <c r="Q25" s="15"/>
      <c r="R25" s="15"/>
      <c r="S25" s="15"/>
      <c r="T25" s="89"/>
      <c r="U25" s="108"/>
      <c r="V25" s="73"/>
      <c r="W25" s="73"/>
      <c r="X25" s="73"/>
      <c r="Y25" s="109"/>
      <c r="Z25" s="8"/>
      <c r="AA25" s="8"/>
      <c r="AB25" s="8"/>
      <c r="AC25" s="8"/>
      <c r="AD25" s="57"/>
      <c r="AE25" s="88"/>
      <c r="AF25" s="8"/>
      <c r="AG25" s="8"/>
      <c r="AH25" s="8"/>
      <c r="AI25" s="89"/>
      <c r="AJ25" s="68"/>
      <c r="AK25" s="69"/>
      <c r="AL25" s="69"/>
      <c r="AM25" s="69"/>
      <c r="AN25" s="82"/>
      <c r="AO25" s="77" t="str">
        <f>IFERROR(__xludf.DUMMYFUNCTION("""COMPUTED_VALUE"""),"13a")</f>
        <v>13a</v>
      </c>
      <c r="AP25" s="78">
        <f>IFERROR(__xludf.DUMMYFUNCTION("""COMPUTED_VALUE"""),30.0)</f>
        <v>30</v>
      </c>
      <c r="AQ25" s="78">
        <f>IFERROR(__xludf.DUMMYFUNCTION("""COMPUTED_VALUE"""),88.0)</f>
        <v>88</v>
      </c>
      <c r="AR25" s="81" t="str">
        <f>IFERROR(__xludf.DUMMYFUNCTION("""COMPUTED_VALUE"""),"Daniel Kvasha")</f>
        <v>Daniel Kvasha</v>
      </c>
      <c r="AS25" s="82" t="str">
        <f>IFERROR(__xludf.DUMMYFUNCTION("""COMPUTED_VALUE"""),"")</f>
        <v/>
      </c>
    </row>
    <row r="26">
      <c r="A26" s="88"/>
      <c r="B26" s="8"/>
      <c r="C26" s="8"/>
      <c r="D26" s="8"/>
      <c r="E26" s="89"/>
      <c r="F26" s="77">
        <f>IFERROR(__xludf.DUMMYFUNCTION("""COMPUTED_VALUE"""),19.0)</f>
        <v>19</v>
      </c>
      <c r="G26" s="78">
        <f>IFERROR(__xludf.DUMMYFUNCTION("""COMPUTED_VALUE"""),4.0)</f>
        <v>4</v>
      </c>
      <c r="H26" s="78">
        <f>IFERROR(__xludf.DUMMYFUNCTION("""COMPUTED_VALUE"""),66.0)</f>
        <v>66</v>
      </c>
      <c r="I26" s="81" t="str">
        <f>IFERROR(__xludf.DUMMYFUNCTION("""COMPUTED_VALUE"""),"Juanan Jorques")</f>
        <v>Juanan Jorques</v>
      </c>
      <c r="J26" s="85" t="str">
        <f>IFERROR(__xludf.DUMMYFUNCTION("""COMPUTED_VALUE"""),"")</f>
        <v/>
      </c>
      <c r="K26" s="88"/>
      <c r="L26" s="8"/>
      <c r="M26" s="8"/>
      <c r="N26" s="8"/>
      <c r="O26" s="89"/>
      <c r="P26" s="8"/>
      <c r="Q26" s="8"/>
      <c r="R26" s="8"/>
      <c r="S26" s="8"/>
      <c r="T26" s="57"/>
      <c r="U26" s="77">
        <f>IFERROR(__xludf.DUMMYFUNCTION("""COMPUTED_VALUE"""),31.0)</f>
        <v>31</v>
      </c>
      <c r="V26" s="78">
        <f>IFERROR(__xludf.DUMMYFUNCTION("""COMPUTED_VALUE"""),1.0)</f>
        <v>1</v>
      </c>
      <c r="W26" s="78">
        <f>IFERROR(__xludf.DUMMYFUNCTION("""COMPUTED_VALUE"""),895.0)</f>
        <v>895</v>
      </c>
      <c r="X26" s="81" t="str">
        <f>IFERROR(__xludf.DUMMYFUNCTION("""COMPUTED_VALUE"""),"Siim Voort")</f>
        <v>Siim Voort</v>
      </c>
      <c r="Y26" s="85" t="str">
        <f>IFERROR(__xludf.DUMMYFUNCTION("""COMPUTED_VALUE"""),"V")</f>
        <v>V</v>
      </c>
      <c r="Z26" s="8"/>
      <c r="AA26" s="8"/>
      <c r="AB26" s="8"/>
      <c r="AC26" s="8"/>
      <c r="AD26" s="57"/>
      <c r="AE26" s="88"/>
      <c r="AF26" s="8"/>
      <c r="AG26" s="8"/>
      <c r="AH26" s="8"/>
      <c r="AI26" s="89"/>
      <c r="AJ26" s="77">
        <f>IFERROR(__xludf.DUMMYFUNCTION("""COMPUTED_VALUE"""),23.0)</f>
        <v>23</v>
      </c>
      <c r="AK26" s="78">
        <f>IFERROR(__xludf.DUMMYFUNCTION("""COMPUTED_VALUE"""),3.0)</f>
        <v>3</v>
      </c>
      <c r="AL26" s="78">
        <f>IFERROR(__xludf.DUMMYFUNCTION("""COMPUTED_VALUE"""),211.0)</f>
        <v>211</v>
      </c>
      <c r="AM26" s="81" t="str">
        <f>IFERROR(__xludf.DUMMYFUNCTION("""COMPUTED_VALUE"""),"David Laczko")</f>
        <v>David Laczko</v>
      </c>
      <c r="AN26" s="82" t="str">
        <f>IFERROR(__xludf.DUMMYFUNCTION("""COMPUTED_VALUE"""),"")</f>
        <v/>
      </c>
      <c r="AO26" s="88"/>
      <c r="AP26" s="8"/>
      <c r="AQ26" s="8" t="str">
        <f>IFERROR(__xludf.DUMMYFUNCTION("""COMPUTED_VALUE"""),"")</f>
        <v/>
      </c>
      <c r="AR26" s="8" t="str">
        <f>IFERROR(__xludf.DUMMYFUNCTION("""COMPUTED_VALUE"""),"")</f>
        <v/>
      </c>
      <c r="AS26" s="89"/>
    </row>
    <row r="27">
      <c r="A27" s="68"/>
      <c r="B27" s="69"/>
      <c r="C27" s="69"/>
      <c r="D27" s="69"/>
      <c r="E27" s="82"/>
      <c r="F27" s="77" t="str">
        <f>IFERROR(__xludf.DUMMYFUNCTION("""COMPUTED_VALUE"""),"19a")</f>
        <v>19a</v>
      </c>
      <c r="G27" s="78">
        <f>IFERROR(__xludf.DUMMYFUNCTION("""COMPUTED_VALUE"""),13.0)</f>
        <v>13</v>
      </c>
      <c r="H27" s="78">
        <f>IFERROR(__xludf.DUMMYFUNCTION("""COMPUTED_VALUE"""),686.0)</f>
        <v>686</v>
      </c>
      <c r="I27" s="81" t="str">
        <f>IFERROR(__xludf.DUMMYFUNCTION("""COMPUTED_VALUE"""),"Luis Treviño")</f>
        <v>Luis Treviño</v>
      </c>
      <c r="J27" s="82" t="str">
        <f>IFERROR(__xludf.DUMMYFUNCTION("""COMPUTED_VALUE"""),"V")</f>
        <v>V</v>
      </c>
      <c r="K27" s="88"/>
      <c r="L27" s="8"/>
      <c r="M27" s="8"/>
      <c r="N27" s="8"/>
      <c r="O27" s="89"/>
      <c r="P27" s="8"/>
      <c r="Q27" s="8"/>
      <c r="R27" s="8"/>
      <c r="S27" s="8"/>
      <c r="T27" s="57"/>
      <c r="U27" s="92" t="str">
        <f>IFERROR(__xludf.DUMMYFUNCTION("""COMPUTED_VALUE"""),"31a")</f>
        <v>31a</v>
      </c>
      <c r="V27" s="93">
        <f>IFERROR(__xludf.DUMMYFUNCTION("""COMPUTED_VALUE"""),31.0)</f>
        <v>31</v>
      </c>
      <c r="W27" s="93">
        <f>IFERROR(__xludf.DUMMYFUNCTION("""COMPUTED_VALUE"""),9.0)</f>
        <v>9</v>
      </c>
      <c r="X27" s="94" t="str">
        <f>IFERROR(__xludf.DUMMYFUNCTION("""COMPUTED_VALUE"""),"Benas Jonutis")</f>
        <v>Benas Jonutis</v>
      </c>
      <c r="Y27" s="95" t="str">
        <f>IFERROR(__xludf.DUMMYFUNCTION("""COMPUTED_VALUE"""),"")</f>
        <v/>
      </c>
      <c r="Z27" s="8"/>
      <c r="AA27" s="8"/>
      <c r="AB27" s="8"/>
      <c r="AC27" s="8"/>
      <c r="AD27" s="57"/>
      <c r="AE27" s="88"/>
      <c r="AF27" s="8"/>
      <c r="AG27" s="8"/>
      <c r="AH27" s="8"/>
      <c r="AI27" s="89"/>
      <c r="AJ27" s="77" t="str">
        <f>IFERROR(__xludf.DUMMYFUNCTION("""COMPUTED_VALUE"""),"23a")</f>
        <v>23a</v>
      </c>
      <c r="AK27" s="78">
        <f>IFERROR(__xludf.DUMMYFUNCTION("""COMPUTED_VALUE"""),19.0)</f>
        <v>19</v>
      </c>
      <c r="AL27" s="78">
        <f>IFERROR(__xludf.DUMMYFUNCTION("""COMPUTED_VALUE"""),99.0)</f>
        <v>99</v>
      </c>
      <c r="AM27" s="81" t="str">
        <f>IFERROR(__xludf.DUMMYFUNCTION("""COMPUTED_VALUE"""),"Oihan Polo")</f>
        <v>Oihan Polo</v>
      </c>
      <c r="AN27" s="85" t="str">
        <f>IFERROR(__xludf.DUMMYFUNCTION("""COMPUTED_VALUE"""),"V")</f>
        <v>V</v>
      </c>
      <c r="AO27" s="68"/>
      <c r="AP27" s="69"/>
      <c r="AQ27" s="69" t="str">
        <f>IFERROR(__xludf.DUMMYFUNCTION("""COMPUTED_VALUE"""),"")</f>
        <v/>
      </c>
      <c r="AR27" s="69" t="str">
        <f>IFERROR(__xludf.DUMMYFUNCTION("""COMPUTED_VALUE"""),"")</f>
        <v/>
      </c>
      <c r="AS27" s="82"/>
    </row>
    <row r="28">
      <c r="A28" s="77">
        <f>IFERROR(__xludf.DUMMYFUNCTION("""COMPUTED_VALUE"""),6.0)</f>
        <v>6</v>
      </c>
      <c r="B28" s="78">
        <f>IFERROR(__xludf.DUMMYFUNCTION("""COMPUTED_VALUE"""),13.0)</f>
        <v>13</v>
      </c>
      <c r="C28" s="78">
        <f>IFERROR(__xludf.DUMMYFUNCTION("""COMPUTED_VALUE"""),686.0)</f>
        <v>686</v>
      </c>
      <c r="D28" s="81" t="str">
        <f>IFERROR(__xludf.DUMMYFUNCTION("""COMPUTED_VALUE"""),"Luis Treviño")</f>
        <v>Luis Treviño</v>
      </c>
      <c r="E28" s="82" t="str">
        <f>IFERROR(__xludf.DUMMYFUNCTION("""COMPUTED_VALUE"""),"V")</f>
        <v>V</v>
      </c>
      <c r="F28" s="88"/>
      <c r="G28" s="8"/>
      <c r="H28" s="8"/>
      <c r="I28" s="8"/>
      <c r="J28" s="89"/>
      <c r="K28" s="88"/>
      <c r="L28" s="8"/>
      <c r="M28" s="8"/>
      <c r="N28" s="8"/>
      <c r="O28" s="89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57"/>
      <c r="AE28" s="88"/>
      <c r="AF28" s="8"/>
      <c r="AG28" s="8"/>
      <c r="AH28" s="8"/>
      <c r="AI28" s="89"/>
      <c r="AJ28" s="88"/>
      <c r="AK28" s="8"/>
      <c r="AL28" s="8"/>
      <c r="AM28" s="8"/>
      <c r="AN28" s="89"/>
      <c r="AO28" s="77">
        <f>IFERROR(__xludf.DUMMYFUNCTION("""COMPUTED_VALUE"""),14.0)</f>
        <v>14</v>
      </c>
      <c r="AP28" s="78">
        <f>IFERROR(__xludf.DUMMYFUNCTION("""COMPUTED_VALUE"""),14.0)</f>
        <v>14</v>
      </c>
      <c r="AQ28" s="78">
        <f>IFERROR(__xludf.DUMMYFUNCTION("""COMPUTED_VALUE"""),649.0)</f>
        <v>649</v>
      </c>
      <c r="AR28" s="81" t="str">
        <f>IFERROR(__xludf.DUMMYFUNCTION("""COMPUTED_VALUE"""),"Simon Sandman")</f>
        <v>Simon Sandman</v>
      </c>
      <c r="AS28" s="85" t="str">
        <f>IFERROR(__xludf.DUMMYFUNCTION("""COMPUTED_VALUE"""),"")</f>
        <v/>
      </c>
    </row>
    <row r="29">
      <c r="A29" s="77" t="str">
        <f>IFERROR(__xludf.DUMMYFUNCTION("""COMPUTED_VALUE"""),"6a")</f>
        <v>6a</v>
      </c>
      <c r="B29" s="78">
        <f>IFERROR(__xludf.DUMMYFUNCTION("""COMPUTED_VALUE"""),20.0)</f>
        <v>20</v>
      </c>
      <c r="C29" s="78">
        <f>IFERROR(__xludf.DUMMYFUNCTION("""COMPUTED_VALUE"""),13.0)</f>
        <v>13</v>
      </c>
      <c r="D29" s="81" t="str">
        <f>IFERROR(__xludf.DUMMYFUNCTION("""COMPUTED_VALUE"""),"Fredrik Blokhus")</f>
        <v>Fredrik Blokhus</v>
      </c>
      <c r="E29" s="85" t="str">
        <f>IFERROR(__xludf.DUMMYFUNCTION("""COMPUTED_VALUE"""),"")</f>
        <v/>
      </c>
      <c r="F29" s="88"/>
      <c r="G29" s="8"/>
      <c r="H29" s="8"/>
      <c r="I29" s="8"/>
      <c r="J29" s="89"/>
      <c r="K29" s="68"/>
      <c r="L29" s="69"/>
      <c r="M29" s="69"/>
      <c r="N29" s="69"/>
      <c r="O29" s="82"/>
      <c r="P29" s="8"/>
      <c r="Q29" s="8"/>
      <c r="R29" s="8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57"/>
      <c r="AE29" s="68"/>
      <c r="AF29" s="69"/>
      <c r="AG29" s="69"/>
      <c r="AH29" s="69"/>
      <c r="AI29" s="82"/>
      <c r="AJ29" s="88"/>
      <c r="AK29" s="8"/>
      <c r="AL29" s="8"/>
      <c r="AM29" s="8"/>
      <c r="AN29" s="89"/>
      <c r="AO29" s="77" t="str">
        <f>IFERROR(__xludf.DUMMYFUNCTION("""COMPUTED_VALUE"""),"14a")</f>
        <v>14a</v>
      </c>
      <c r="AP29" s="78">
        <f>IFERROR(__xludf.DUMMYFUNCTION("""COMPUTED_VALUE"""),19.0)</f>
        <v>19</v>
      </c>
      <c r="AQ29" s="78">
        <f>IFERROR(__xludf.DUMMYFUNCTION("""COMPUTED_VALUE"""),99.0)</f>
        <v>99</v>
      </c>
      <c r="AR29" s="81" t="str">
        <f>IFERROR(__xludf.DUMMYFUNCTION("""COMPUTED_VALUE"""),"Oihan Polo")</f>
        <v>Oihan Polo</v>
      </c>
      <c r="AS29" s="82" t="str">
        <f>IFERROR(__xludf.DUMMYFUNCTION("""COMPUTED_VALUE"""),"V")</f>
        <v>V</v>
      </c>
    </row>
    <row r="30">
      <c r="A30" s="88"/>
      <c r="B30" s="8"/>
      <c r="C30" s="8"/>
      <c r="D30" s="8"/>
      <c r="E30" s="89"/>
      <c r="F30" s="88"/>
      <c r="G30" s="8"/>
      <c r="H30" s="8"/>
      <c r="I30" s="8"/>
      <c r="J30" s="89"/>
      <c r="K30" s="77">
        <f>IFERROR(__xludf.DUMMYFUNCTION("""COMPUTED_VALUE"""),26.0)</f>
        <v>26</v>
      </c>
      <c r="L30" s="78">
        <f>IFERROR(__xludf.DUMMYFUNCTION("""COMPUTED_VALUE"""),13.0)</f>
        <v>13</v>
      </c>
      <c r="M30" s="78">
        <f>IFERROR(__xludf.DUMMYFUNCTION("""COMPUTED_VALUE"""),686.0)</f>
        <v>686</v>
      </c>
      <c r="N30" s="81" t="str">
        <f>IFERROR(__xludf.DUMMYFUNCTION("""COMPUTED_VALUE"""),"Luis Treviño")</f>
        <v>Luis Treviño</v>
      </c>
      <c r="O30" s="85" t="str">
        <f>IFERROR(__xludf.DUMMYFUNCTION("""COMPUTED_VALUE"""),"")</f>
        <v/>
      </c>
      <c r="P30" s="8"/>
      <c r="Q30" s="8"/>
      <c r="R30" s="8"/>
      <c r="S30" s="9"/>
      <c r="T30" s="9" t="str">
        <f>IFERROR(__xludf.DUMMYFUNCTION("""COMPUTED_VALUE"""),"Result overlay")</f>
        <v>Result overlay</v>
      </c>
      <c r="U30" s="9"/>
      <c r="V30" s="9"/>
      <c r="W30" s="9"/>
      <c r="X30" s="9"/>
      <c r="Y30" s="9"/>
      <c r="Z30" s="9"/>
      <c r="AA30" s="9"/>
      <c r="AB30" s="9"/>
      <c r="AC30" s="9"/>
      <c r="AD30" s="57"/>
      <c r="AE30" s="77">
        <f>IFERROR(__xludf.DUMMYFUNCTION("""COMPUTED_VALUE"""),28.0)</f>
        <v>28</v>
      </c>
      <c r="AF30" s="78">
        <f>IFERROR(__xludf.DUMMYFUNCTION("""COMPUTED_VALUE"""),19.0)</f>
        <v>19</v>
      </c>
      <c r="AG30" s="78">
        <f>IFERROR(__xludf.DUMMYFUNCTION("""COMPUTED_VALUE"""),99.0)</f>
        <v>99</v>
      </c>
      <c r="AH30" s="81" t="str">
        <f>IFERROR(__xludf.DUMMYFUNCTION("""COMPUTED_VALUE"""),"Oihan Polo")</f>
        <v>Oihan Polo</v>
      </c>
      <c r="AI30" s="82" t="str">
        <f>IFERROR(__xludf.DUMMYFUNCTION("""COMPUTED_VALUE"""),"")</f>
        <v/>
      </c>
      <c r="AJ30" s="88"/>
      <c r="AK30" s="8"/>
      <c r="AL30" s="8"/>
      <c r="AM30" s="8"/>
      <c r="AN30" s="89"/>
      <c r="AO30" s="88"/>
      <c r="AP30" s="8"/>
      <c r="AQ30" s="8" t="str">
        <f>IFERROR(__xludf.DUMMYFUNCTION("""COMPUTED_VALUE"""),"")</f>
        <v/>
      </c>
      <c r="AR30" s="8" t="str">
        <f>IFERROR(__xludf.DUMMYFUNCTION("""COMPUTED_VALUE"""),"")</f>
        <v/>
      </c>
      <c r="AS30" s="89"/>
    </row>
    <row r="31">
      <c r="A31" s="68"/>
      <c r="B31" s="69"/>
      <c r="C31" s="69"/>
      <c r="D31" s="69"/>
      <c r="E31" s="82"/>
      <c r="F31" s="88"/>
      <c r="G31" s="8"/>
      <c r="H31" s="8"/>
      <c r="I31" s="8"/>
      <c r="J31" s="89"/>
      <c r="K31" s="92" t="str">
        <f>IFERROR(__xludf.DUMMYFUNCTION("""COMPUTED_VALUE"""),"26a")</f>
        <v>26a</v>
      </c>
      <c r="L31" s="93">
        <f>IFERROR(__xludf.DUMMYFUNCTION("""COMPUTED_VALUE"""),5.0)</f>
        <v>5</v>
      </c>
      <c r="M31" s="93">
        <f>IFERROR(__xludf.DUMMYFUNCTION("""COMPUTED_VALUE"""),410.0)</f>
        <v>410</v>
      </c>
      <c r="N31" s="94" t="str">
        <f>IFERROR(__xludf.DUMMYFUNCTION("""COMPUTED_VALUE"""),"Chase Cronin")</f>
        <v>Chase Cronin</v>
      </c>
      <c r="O31" s="95" t="str">
        <f>IFERROR(__xludf.DUMMYFUNCTION("""COMPUTED_VALUE"""),"V")</f>
        <v>V</v>
      </c>
      <c r="P31" s="8"/>
      <c r="Q31" s="8"/>
      <c r="R31" s="8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57"/>
      <c r="AE31" s="92" t="str">
        <f>IFERROR(__xludf.DUMMYFUNCTION("""COMPUTED_VALUE"""),"28a")</f>
        <v>28a</v>
      </c>
      <c r="AF31" s="93">
        <f>IFERROR(__xludf.DUMMYFUNCTION("""COMPUTED_VALUE"""),6.0)</f>
        <v>6</v>
      </c>
      <c r="AG31" s="93">
        <f>IFERROR(__xludf.DUMMYFUNCTION("""COMPUTED_VALUE"""),41.0)</f>
        <v>41</v>
      </c>
      <c r="AH31" s="94" t="str">
        <f>IFERROR(__xludf.DUMMYFUNCTION("""COMPUTED_VALUE"""),"Armands Vestmanis")</f>
        <v>Armands Vestmanis</v>
      </c>
      <c r="AI31" s="113" t="str">
        <f>IFERROR(__xludf.DUMMYFUNCTION("""COMPUTED_VALUE"""),"V")</f>
        <v>V</v>
      </c>
      <c r="AJ31" s="88"/>
      <c r="AK31" s="8"/>
      <c r="AL31" s="8"/>
      <c r="AM31" s="8"/>
      <c r="AN31" s="89"/>
      <c r="AO31" s="68"/>
      <c r="AP31" s="69"/>
      <c r="AQ31" s="69" t="str">
        <f>IFERROR(__xludf.DUMMYFUNCTION("""COMPUTED_VALUE"""),"")</f>
        <v/>
      </c>
      <c r="AR31" s="69" t="str">
        <f>IFERROR(__xludf.DUMMYFUNCTION("""COMPUTED_VALUE"""),"")</f>
        <v/>
      </c>
      <c r="AS31" s="82"/>
    </row>
    <row r="32">
      <c r="A32" s="77">
        <f>IFERROR(__xludf.DUMMYFUNCTION("""COMPUTED_VALUE"""),7.0)</f>
        <v>7</v>
      </c>
      <c r="B32" s="78">
        <f>IFERROR(__xludf.DUMMYFUNCTION("""COMPUTED_VALUE"""),5.0)</f>
        <v>5</v>
      </c>
      <c r="C32" s="78">
        <f>IFERROR(__xludf.DUMMYFUNCTION("""COMPUTED_VALUE"""),410.0)</f>
        <v>410</v>
      </c>
      <c r="D32" s="81" t="str">
        <f>IFERROR(__xludf.DUMMYFUNCTION("""COMPUTED_VALUE"""),"Chase Cronin")</f>
        <v>Chase Cronin</v>
      </c>
      <c r="E32" s="82" t="str">
        <f>IFERROR(__xludf.DUMMYFUNCTION("""COMPUTED_VALUE"""),"V")</f>
        <v>V</v>
      </c>
      <c r="F32" s="88"/>
      <c r="G32" s="8"/>
      <c r="H32" s="8"/>
      <c r="I32" s="8"/>
      <c r="J32" s="89"/>
      <c r="K32" s="8"/>
      <c r="L32" s="8"/>
      <c r="M32" s="8"/>
      <c r="N32" s="8"/>
      <c r="O32" s="8"/>
      <c r="P32" s="8"/>
      <c r="Q32" s="8"/>
      <c r="R32" s="8"/>
      <c r="S32" s="9"/>
      <c r="T32" s="9" t="str">
        <f>IFERROR(__xludf.DUMMYFUNCTION("""COMPUTED_VALUE"""),"Car")</f>
        <v>Car</v>
      </c>
      <c r="U32" s="9" t="str">
        <f>IFERROR(__xludf.DUMMYFUNCTION("""COMPUTED_VALUE"""),"Position")</f>
        <v>Position</v>
      </c>
      <c r="V32" s="9" t="str">
        <f>IFERROR(__xludf.DUMMYFUNCTION("""COMPUTED_VALUE"""),"Qali")</f>
        <v>Qali</v>
      </c>
      <c r="W32" s="9" t="str">
        <f>IFERROR(__xludf.DUMMYFUNCTION("""COMPUTED_VALUE"""),"Nr")</f>
        <v>Nr</v>
      </c>
      <c r="X32" s="9" t="str">
        <f>IFERROR(__xludf.DUMMYFUNCTION("""COMPUTED_VALUE"""),"Driver")</f>
        <v>Driver</v>
      </c>
      <c r="Y32" s="9"/>
      <c r="Z32" s="9" t="str">
        <f>IFERROR(__xludf.DUMMYFUNCTION("""COMPUTED_VALUE"""),"Country")</f>
        <v>Country</v>
      </c>
      <c r="AA32" s="9"/>
      <c r="AB32" s="9"/>
      <c r="AC32" s="9"/>
      <c r="AD32" s="8"/>
      <c r="AE32" s="8"/>
      <c r="AF32" s="8"/>
      <c r="AG32" s="8"/>
      <c r="AH32" s="8"/>
      <c r="AI32" s="57"/>
      <c r="AJ32" s="88"/>
      <c r="AK32" s="8"/>
      <c r="AL32" s="8"/>
      <c r="AM32" s="8"/>
      <c r="AN32" s="89"/>
      <c r="AO32" s="77">
        <f>IFERROR(__xludf.DUMMYFUNCTION("""COMPUTED_VALUE"""),15.0)</f>
        <v>15</v>
      </c>
      <c r="AP32" s="78">
        <f>IFERROR(__xludf.DUMMYFUNCTION("""COMPUTED_VALUE"""),6.0)</f>
        <v>6</v>
      </c>
      <c r="AQ32" s="78">
        <f>IFERROR(__xludf.DUMMYFUNCTION("""COMPUTED_VALUE"""),41.0)</f>
        <v>41</v>
      </c>
      <c r="AR32" s="81" t="str">
        <f>IFERROR(__xludf.DUMMYFUNCTION("""COMPUTED_VALUE"""),"Armands Vestmanis")</f>
        <v>Armands Vestmanis</v>
      </c>
      <c r="AS32" s="85" t="str">
        <f>IFERROR(__xludf.DUMMYFUNCTION("""COMPUTED_VALUE"""),"V")</f>
        <v>V</v>
      </c>
    </row>
    <row r="33">
      <c r="A33" s="77" t="str">
        <f>IFERROR(__xludf.DUMMYFUNCTION("""COMPUTED_VALUE"""),"7a")</f>
        <v>7a</v>
      </c>
      <c r="B33" s="78">
        <f>IFERROR(__xludf.DUMMYFUNCTION("""COMPUTED_VALUE"""),28.0)</f>
        <v>28</v>
      </c>
      <c r="C33" s="78">
        <f>IFERROR(__xludf.DUMMYFUNCTION("""COMPUTED_VALUE"""),4.0)</f>
        <v>4</v>
      </c>
      <c r="D33" s="81" t="str">
        <f>IFERROR(__xludf.DUMMYFUNCTION("""COMPUTED_VALUE"""),"Paweł Kałużka")</f>
        <v>Paweł Kałużka</v>
      </c>
      <c r="E33" s="85" t="str">
        <f>IFERROR(__xludf.DUMMYFUNCTION("""COMPUTED_VALUE"""),"")</f>
        <v/>
      </c>
      <c r="F33" s="68"/>
      <c r="G33" s="69"/>
      <c r="H33" s="69"/>
      <c r="I33" s="69"/>
      <c r="J33" s="82"/>
      <c r="K33" s="8"/>
      <c r="L33" s="8"/>
      <c r="M33" s="8"/>
      <c r="N33" s="8"/>
      <c r="O33" s="8"/>
      <c r="P33" s="8"/>
      <c r="Q33" s="8"/>
      <c r="R33" s="8"/>
      <c r="S33" s="9"/>
      <c r="T33" s="9" t="str">
        <f>IFERROR(__xludf.DUMMYFUNCTION("""COMPUTED_VALUE"""),"BMW E46")</f>
        <v>BMW E46</v>
      </c>
      <c r="U33" s="9">
        <f>IFERROR(__xludf.DUMMYFUNCTION("""COMPUTED_VALUE"""),32.0)</f>
        <v>32</v>
      </c>
      <c r="V33" s="9">
        <f>IFERROR(__xludf.DUMMYFUNCTION("""COMPUTED_VALUE"""),5.0)</f>
        <v>5</v>
      </c>
      <c r="W33" s="9">
        <f>IFERROR(__xludf.DUMMYFUNCTION("""COMPUTED_VALUE"""),410.0)</f>
        <v>410</v>
      </c>
      <c r="X33" s="9" t="str">
        <f>IFERROR(__xludf.DUMMYFUNCTION("""COMPUTED_VALUE"""),"Chase Cronin")</f>
        <v>Chase Cronin</v>
      </c>
      <c r="Y33" s="9"/>
      <c r="Z33" s="9" t="str">
        <f>IFERROR(__xludf.DUMMYFUNCTION("""COMPUTED_VALUE"""),"United States")</f>
        <v>United States</v>
      </c>
      <c r="AA33" s="9"/>
      <c r="AB33" s="9"/>
      <c r="AC33" s="9"/>
      <c r="AD33" s="8"/>
      <c r="AE33" s="8"/>
      <c r="AF33" s="8"/>
      <c r="AG33" s="8"/>
      <c r="AH33" s="8"/>
      <c r="AI33" s="57"/>
      <c r="AJ33" s="68"/>
      <c r="AK33" s="69"/>
      <c r="AL33" s="69"/>
      <c r="AM33" s="69"/>
      <c r="AN33" s="82"/>
      <c r="AO33" s="77" t="str">
        <f>IFERROR(__xludf.DUMMYFUNCTION("""COMPUTED_VALUE"""),"15a")</f>
        <v>15a</v>
      </c>
      <c r="AP33" s="78">
        <f>IFERROR(__xludf.DUMMYFUNCTION("""COMPUTED_VALUE"""),27.0)</f>
        <v>27</v>
      </c>
      <c r="AQ33" s="78">
        <f>IFERROR(__xludf.DUMMYFUNCTION("""COMPUTED_VALUE"""),507.0)</f>
        <v>507</v>
      </c>
      <c r="AR33" s="81" t="str">
        <f>IFERROR(__xludf.DUMMYFUNCTION("""COMPUTED_VALUE"""),"Alexander skok Jensen")</f>
        <v>Alexander skok Jensen</v>
      </c>
      <c r="AS33" s="82" t="str">
        <f>IFERROR(__xludf.DUMMYFUNCTION("""COMPUTED_VALUE"""),"")</f>
        <v/>
      </c>
    </row>
    <row r="34">
      <c r="A34" s="88"/>
      <c r="B34" s="8"/>
      <c r="C34" s="8"/>
      <c r="D34" s="8"/>
      <c r="E34" s="89"/>
      <c r="F34" s="77">
        <f>IFERROR(__xludf.DUMMYFUNCTION("""COMPUTED_VALUE"""),20.0)</f>
        <v>20</v>
      </c>
      <c r="G34" s="78">
        <f>IFERROR(__xludf.DUMMYFUNCTION("""COMPUTED_VALUE"""),5.0)</f>
        <v>5</v>
      </c>
      <c r="H34" s="78">
        <f>IFERROR(__xludf.DUMMYFUNCTION("""COMPUTED_VALUE"""),410.0)</f>
        <v>410</v>
      </c>
      <c r="I34" s="81" t="str">
        <f>IFERROR(__xludf.DUMMYFUNCTION("""COMPUTED_VALUE"""),"Chase Cronin")</f>
        <v>Chase Cronin</v>
      </c>
      <c r="J34" s="85" t="str">
        <f>IFERROR(__xludf.DUMMYFUNCTION("""COMPUTED_VALUE"""),"V")</f>
        <v>V</v>
      </c>
      <c r="K34" s="8"/>
      <c r="L34" s="8"/>
      <c r="M34" s="8"/>
      <c r="N34" s="8"/>
      <c r="O34" s="8"/>
      <c r="P34" s="8"/>
      <c r="Q34" s="8"/>
      <c r="R34" s="8"/>
      <c r="S34" s="9"/>
      <c r="T34" s="9" t="str">
        <f>IFERROR(__xludf.DUMMYFUNCTION("""COMPUTED_VALUE"""),"BMW E36")</f>
        <v>BMW E36</v>
      </c>
      <c r="U34" s="9" t="str">
        <f>IFERROR(__xludf.DUMMYFUNCTION("""COMPUTED_VALUE"""),"32a")</f>
        <v>32a</v>
      </c>
      <c r="V34" s="9">
        <f>IFERROR(__xludf.DUMMYFUNCTION("""COMPUTED_VALUE"""),6.0)</f>
        <v>6</v>
      </c>
      <c r="W34" s="9">
        <f>IFERROR(__xludf.DUMMYFUNCTION("""COMPUTED_VALUE"""),41.0)</f>
        <v>41</v>
      </c>
      <c r="X34" s="9" t="str">
        <f>IFERROR(__xludf.DUMMYFUNCTION("""COMPUTED_VALUE"""),"Armands Vestmanis")</f>
        <v>Armands Vestmanis</v>
      </c>
      <c r="Y34" s="9"/>
      <c r="Z34" s="9" t="str">
        <f>IFERROR(__xludf.DUMMYFUNCTION("""COMPUTED_VALUE"""),"Latvia")</f>
        <v>Latvia</v>
      </c>
      <c r="AA34" s="9"/>
      <c r="AB34" s="9"/>
      <c r="AC34" s="9"/>
      <c r="AD34" s="8"/>
      <c r="AE34" s="8"/>
      <c r="AF34" s="8"/>
      <c r="AG34" s="8"/>
      <c r="AH34" s="8"/>
      <c r="AI34" s="57"/>
      <c r="AJ34" s="77">
        <f>IFERROR(__xludf.DUMMYFUNCTION("""COMPUTED_VALUE"""),24.0)</f>
        <v>24</v>
      </c>
      <c r="AK34" s="78">
        <f>IFERROR(__xludf.DUMMYFUNCTION("""COMPUTED_VALUE"""),6.0)</f>
        <v>6</v>
      </c>
      <c r="AL34" s="78">
        <f>IFERROR(__xludf.DUMMYFUNCTION("""COMPUTED_VALUE"""),41.0)</f>
        <v>41</v>
      </c>
      <c r="AM34" s="81" t="str">
        <f>IFERROR(__xludf.DUMMYFUNCTION("""COMPUTED_VALUE"""),"Armands Vestmanis")</f>
        <v>Armands Vestmanis</v>
      </c>
      <c r="AN34" s="85" t="str">
        <f>IFERROR(__xludf.DUMMYFUNCTION("""COMPUTED_VALUE"""),"V")</f>
        <v>V</v>
      </c>
      <c r="AO34" s="88"/>
      <c r="AP34" s="8"/>
      <c r="AQ34" s="8" t="str">
        <f>IFERROR(__xludf.DUMMYFUNCTION("""COMPUTED_VALUE"""),"")</f>
        <v/>
      </c>
      <c r="AR34" s="8" t="str">
        <f>IFERROR(__xludf.DUMMYFUNCTION("""COMPUTED_VALUE"""),"")</f>
        <v/>
      </c>
      <c r="AS34" s="89"/>
    </row>
    <row r="35">
      <c r="A35" s="68"/>
      <c r="B35" s="69"/>
      <c r="C35" s="69"/>
      <c r="D35" s="69"/>
      <c r="E35" s="82"/>
      <c r="F35" s="92" t="str">
        <f>IFERROR(__xludf.DUMMYFUNCTION("""COMPUTED_VALUE"""),"20a")</f>
        <v>20a</v>
      </c>
      <c r="G35" s="93">
        <f>IFERROR(__xludf.DUMMYFUNCTION("""COMPUTED_VALUE"""),12.0)</f>
        <v>12</v>
      </c>
      <c r="H35" s="93">
        <f>IFERROR(__xludf.DUMMYFUNCTION("""COMPUTED_VALUE"""),314.0)</f>
        <v>314</v>
      </c>
      <c r="I35" s="94" t="str">
        <f>IFERROR(__xludf.DUMMYFUNCTION("""COMPUTED_VALUE"""),"Adrian Roncero")</f>
        <v>Adrian Roncero</v>
      </c>
      <c r="J35" s="95" t="str">
        <f>IFERROR(__xludf.DUMMYFUNCTION("""COMPUTED_VALUE"""),"")</f>
        <v/>
      </c>
      <c r="K35" s="8"/>
      <c r="L35" s="8"/>
      <c r="M35" s="8"/>
      <c r="N35" s="8"/>
      <c r="O35" s="8"/>
      <c r="P35" s="8"/>
      <c r="Q35" s="8"/>
      <c r="R35" s="8"/>
      <c r="S35" s="9"/>
      <c r="T35" s="9"/>
      <c r="U35" s="9" t="str">
        <f>IFERROR(__xludf.DUMMYFUNCTION("""COMPUTED_VALUE"""),"Judges")</f>
        <v>Judges</v>
      </c>
      <c r="V35" s="9"/>
      <c r="W35" s="9"/>
      <c r="X35" s="9"/>
      <c r="Y35" s="9"/>
      <c r="Z35" s="9"/>
      <c r="AA35" s="9"/>
      <c r="AB35" s="9"/>
      <c r="AC35" s="9"/>
      <c r="AD35" s="8"/>
      <c r="AE35" s="8"/>
      <c r="AF35" s="8"/>
      <c r="AG35" s="8"/>
      <c r="AH35" s="8"/>
      <c r="AI35" s="57"/>
      <c r="AJ35" s="92" t="str">
        <f>IFERROR(__xludf.DUMMYFUNCTION("""COMPUTED_VALUE"""),"24a")</f>
        <v>24a</v>
      </c>
      <c r="AK35" s="93">
        <f>IFERROR(__xludf.DUMMYFUNCTION("""COMPUTED_VALUE"""),11.0)</f>
        <v>11</v>
      </c>
      <c r="AL35" s="93">
        <f>IFERROR(__xludf.DUMMYFUNCTION("""COMPUTED_VALUE"""),412.0)</f>
        <v>412</v>
      </c>
      <c r="AM35" s="94" t="str">
        <f>IFERROR(__xludf.DUMMYFUNCTION("""COMPUTED_VALUE"""),"Owen Ellis")</f>
        <v>Owen Ellis</v>
      </c>
      <c r="AN35" s="95" t="str">
        <f>IFERROR(__xludf.DUMMYFUNCTION("""COMPUTED_VALUE"""),"")</f>
        <v/>
      </c>
      <c r="AO35" s="68"/>
      <c r="AP35" s="69"/>
      <c r="AQ35" s="69" t="str">
        <f>IFERROR(__xludf.DUMMYFUNCTION("""COMPUTED_VALUE"""),"")</f>
        <v/>
      </c>
      <c r="AR35" s="69" t="str">
        <f>IFERROR(__xludf.DUMMYFUNCTION("""COMPUTED_VALUE"""),"")</f>
        <v/>
      </c>
      <c r="AS35" s="82"/>
    </row>
    <row r="36">
      <c r="A36" s="77">
        <f>IFERROR(__xludf.DUMMYFUNCTION("""COMPUTED_VALUE"""),8.0)</f>
        <v>8</v>
      </c>
      <c r="B36" s="78">
        <f>IFERROR(__xludf.DUMMYFUNCTION("""COMPUTED_VALUE"""),12.0)</f>
        <v>12</v>
      </c>
      <c r="C36" s="78">
        <f>IFERROR(__xludf.DUMMYFUNCTION("""COMPUTED_VALUE"""),314.0)</f>
        <v>314</v>
      </c>
      <c r="D36" s="81" t="str">
        <f>IFERROR(__xludf.DUMMYFUNCTION("""COMPUTED_VALUE"""),"Adrian Roncero")</f>
        <v>Adrian Roncero</v>
      </c>
      <c r="E36" s="85" t="str">
        <f>IFERROR(__xludf.DUMMYFUNCTION("""COMPUTED_VALUE"""),"V")</f>
        <v>V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9"/>
      <c r="T36" s="9"/>
      <c r="U36" s="9"/>
      <c r="V36" s="9"/>
      <c r="W36" s="9"/>
      <c r="X36" s="9"/>
      <c r="Y36" s="9"/>
      <c r="Z36" s="9" t="str">
        <f>IFERROR(__xludf.DUMMYFUNCTION("""COMPUTED_VALUE"""),"Domā")</f>
        <v>Domā</v>
      </c>
      <c r="AA36" s="9" t="str">
        <f>IFERROR(__xludf.DUMMYFUNCTION("""COMPUTED_VALUE"""),"OMT")</f>
        <v>OMT</v>
      </c>
      <c r="AB36" s="9" t="str">
        <f>IFERROR(__xludf.DUMMYFUNCTION("""COMPUTED_VALUE"""),"Pa labi")</f>
        <v>Pa labi</v>
      </c>
      <c r="AC36" s="9" t="str">
        <f>IFERROR(__xludf.DUMMYFUNCTION("""COMPUTED_VALUE"""),"Pa kreisi")</f>
        <v>Pa kreisi</v>
      </c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57"/>
      <c r="AO36" s="77">
        <f>IFERROR(__xludf.DUMMYFUNCTION("""COMPUTED_VALUE"""),16.0)</f>
        <v>16</v>
      </c>
      <c r="AP36" s="78">
        <f>IFERROR(__xludf.DUMMYFUNCTION("""COMPUTED_VALUE"""),11.0)</f>
        <v>11</v>
      </c>
      <c r="AQ36" s="78">
        <f>IFERROR(__xludf.DUMMYFUNCTION("""COMPUTED_VALUE"""),412.0)</f>
        <v>412</v>
      </c>
      <c r="AR36" s="81" t="str">
        <f>IFERROR(__xludf.DUMMYFUNCTION("""COMPUTED_VALUE"""),"Owen Ellis")</f>
        <v>Owen Ellis</v>
      </c>
      <c r="AS36" s="85" t="str">
        <f>IFERROR(__xludf.DUMMYFUNCTION("""COMPUTED_VALUE"""),"V")</f>
        <v>V</v>
      </c>
    </row>
    <row r="37">
      <c r="A37" s="92" t="str">
        <f>IFERROR(__xludf.DUMMYFUNCTION("""COMPUTED_VALUE"""),"8a")</f>
        <v>8a</v>
      </c>
      <c r="B37" s="93">
        <f>IFERROR(__xludf.DUMMYFUNCTION("""COMPUTED_VALUE"""),21.0)</f>
        <v>21</v>
      </c>
      <c r="C37" s="93">
        <f>IFERROR(__xludf.DUMMYFUNCTION("""COMPUTED_VALUE"""),117.0)</f>
        <v>117</v>
      </c>
      <c r="D37" s="94" t="str">
        <f>IFERROR(__xludf.DUMMYFUNCTION("""COMPUTED_VALUE"""),"Liliana Lang")</f>
        <v>Liliana Lang</v>
      </c>
      <c r="E37" s="95" t="str">
        <f>IFERROR(__xludf.DUMMYFUNCTION("""COMPUTED_VALUE"""),"")</f>
        <v/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9"/>
      <c r="T37" s="9" t="str">
        <f>IFERROR(__xludf.DUMMYFUNCTION("""COMPUTED_VALUE"""),"Chase Cronin")</f>
        <v>Chase Cronin</v>
      </c>
      <c r="U37" s="9" t="str">
        <f>IFERROR(__xludf.DUMMYFUNCTION("""COMPUTED_VALUE"""),"Armands")</f>
        <v>Armands</v>
      </c>
      <c r="V37" s="9" t="str">
        <f>IFERROR(__xludf.DUMMYFUNCTION("""COMPUTED_VALUE"""),"Chase Cronin")</f>
        <v>Chase Cronin</v>
      </c>
      <c r="W37" s="9"/>
      <c r="X37" s="9"/>
      <c r="Y37" s="9" t="str">
        <f>IFERROR(__xludf.DUMMYFUNCTION("""COMPUTED_VALUE"""),"C:\Users\edzji\Desktop\VMix (Dont touch)\2024\2024\Tiesnesulemums\1tiesnesis_kr.png")</f>
        <v>C:\Users\edzji\Desktop\VMix (Dont touch)\2024\2024\Tiesnesulemums\1tiesnesis_kr.png</v>
      </c>
      <c r="Z37" s="9" t="str">
        <f>IFERROR(__xludf.DUMMYFUNCTION("""COMPUTED_VALUE"""),"D:\VMix (Dont touch)\2024\2024\Tiesnesulemums\1tiesnesis_dom.png")</f>
        <v>D:\VMix (Dont touch)\2024\2024\Tiesnesulemums\1tiesnesis_dom.png</v>
      </c>
      <c r="AA37" s="9" t="str">
        <f>IFERROR(__xludf.DUMMYFUNCTION("""COMPUTED_VALUE"""),"C:\Users\edzji\Desktop\VMix (Dont touch)\2024\2024\Tiesnesulemums\1tiesnesis_omt.png")</f>
        <v>C:\Users\edzji\Desktop\VMix (Dont touch)\2024\2024\Tiesnesulemums\1tiesnesis_omt.png</v>
      </c>
      <c r="AB37" s="9" t="str">
        <f>IFERROR(__xludf.DUMMYFUNCTION("""COMPUTED_VALUE"""),"C:\Users\edzji\Desktop\VMix (Dont touch)\2024\2024\Tiesnesulemums\1tiesnesis_lab.png")</f>
        <v>C:\Users\edzji\Desktop\VMix (Dont touch)\2024\2024\Tiesnesulemums\1tiesnesis_lab.png</v>
      </c>
      <c r="AC37" s="9" t="str">
        <f>IFERROR(__xludf.DUMMYFUNCTION("""COMPUTED_VALUE"""),"C:\Users\edzji\Desktop\VMix (Dont touch)\2024\2024\Tiesnesulemums\1tiesnesis_kr.png")</f>
        <v>C:\Users\edzji\Desktop\VMix (Dont touch)\2024\2024\Tiesnesulemums\1tiesnesis_kr.png</v>
      </c>
      <c r="AD37" s="8" t="str">
        <f>IFERROR(__xludf.DUMMYFUNCTION("""COMPUTED_VALUE""")," ")</f>
        <v> </v>
      </c>
      <c r="AE37" s="8"/>
      <c r="AF37" s="8"/>
      <c r="AG37" s="8"/>
      <c r="AH37" s="8"/>
      <c r="AI37" s="8"/>
      <c r="AJ37" s="8"/>
      <c r="AK37" s="8"/>
      <c r="AL37" s="8"/>
      <c r="AM37" s="8"/>
      <c r="AN37" s="57"/>
      <c r="AO37" s="92" t="str">
        <f>IFERROR(__xludf.DUMMYFUNCTION("""COMPUTED_VALUE"""),"16a")</f>
        <v>16a</v>
      </c>
      <c r="AP37" s="93">
        <f>IFERROR(__xludf.DUMMYFUNCTION("""COMPUTED_VALUE"""),22.0)</f>
        <v>22</v>
      </c>
      <c r="AQ37" s="93">
        <f>IFERROR(__xludf.DUMMYFUNCTION("""COMPUTED_VALUE"""),48.0)</f>
        <v>48</v>
      </c>
      <c r="AR37" s="94" t="str">
        <f>IFERROR(__xludf.DUMMYFUNCTION("""COMPUTED_VALUE"""),"Mantas Savickas")</f>
        <v>Mantas Savickas</v>
      </c>
      <c r="AS37" s="95" t="str">
        <f>IFERROR(__xludf.DUMMYFUNCTION("""COMPUTED_VALUE"""),"")</f>
        <v/>
      </c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</row>
    <row r="54">
      <c r="A54" s="8"/>
      <c r="B54" s="8"/>
      <c r="C54" s="8"/>
      <c r="D54" s="8"/>
      <c r="E54" s="114" t="s">
        <v>10</v>
      </c>
      <c r="F54" s="50"/>
      <c r="G54" s="115"/>
      <c r="H54" s="116">
        <f>IFERROR(__xludf.DUMMYFUNCTION("importrange(""186BTcLZIRRmcGcU5S6nDdN41SUH8zUJ1gFEIezWrRnQ"",""'tandem bracket'!C52:D115"")"),895.0)</f>
        <v>895</v>
      </c>
      <c r="I54" s="117" t="str">
        <f>IFERROR(__xludf.DUMMYFUNCTION("""COMPUTED_VALUE"""),"Siim Voort")</f>
        <v>Siim Voort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>
      <c r="A55" s="8"/>
      <c r="B55" s="8"/>
      <c r="C55" s="8"/>
      <c r="D55" s="8"/>
      <c r="E55" s="61"/>
      <c r="G55" s="97"/>
      <c r="H55" s="118">
        <f>IFERROR(__xludf.DUMMYFUNCTION("""COMPUTED_VALUE"""),59.0)</f>
        <v>59</v>
      </c>
      <c r="I55" s="119" t="str">
        <f>IFERROR(__xludf.DUMMYFUNCTION("""COMPUTED_VALUE"""),"Oleh Solomoichenko")</f>
        <v>Oleh Solomoichenko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>
      <c r="A56" s="8"/>
      <c r="B56" s="8"/>
      <c r="C56" s="8"/>
      <c r="D56" s="8"/>
      <c r="E56" s="61"/>
      <c r="G56" s="97"/>
      <c r="H56" s="118">
        <f>IFERROR(__xludf.DUMMYFUNCTION("""COMPUTED_VALUE"""),111.0)</f>
        <v>111</v>
      </c>
      <c r="I56" s="119" t="str">
        <f>IFERROR(__xludf.DUMMYFUNCTION("""COMPUTED_VALUE"""),"Zydrunas Petkevicius")</f>
        <v>Zydrunas Petkevicius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</row>
    <row r="57">
      <c r="A57" s="8"/>
      <c r="B57" s="8"/>
      <c r="C57" s="8"/>
      <c r="D57" s="8"/>
      <c r="E57" s="61"/>
      <c r="G57" s="97"/>
      <c r="H57" s="118">
        <f>IFERROR(__xludf.DUMMYFUNCTION("""COMPUTED_VALUE"""),666.0)</f>
        <v>666</v>
      </c>
      <c r="I57" s="119" t="str">
        <f>IFERROR(__xludf.DUMMYFUNCTION("""COMPUTED_VALUE"""),"Ritums Jēkabsons")</f>
        <v>Ritums Jēkabsons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>
      <c r="A58" s="8"/>
      <c r="B58" s="8"/>
      <c r="C58" s="8"/>
      <c r="D58" s="8"/>
      <c r="E58" s="61"/>
      <c r="G58" s="97"/>
      <c r="H58" s="118">
        <f>IFERROR(__xludf.DUMMYFUNCTION("""COMPUTED_VALUE"""),401.0)</f>
        <v>401</v>
      </c>
      <c r="I58" s="119" t="str">
        <f>IFERROR(__xludf.DUMMYFUNCTION("""COMPUTED_VALUE"""),"Artur Kula")</f>
        <v>Artur Kula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</row>
    <row r="59">
      <c r="A59" s="8"/>
      <c r="B59" s="8"/>
      <c r="C59" s="8"/>
      <c r="D59" s="8"/>
      <c r="E59" s="61"/>
      <c r="G59" s="97"/>
      <c r="H59" s="118">
        <f>IFERROR(__xludf.DUMMYFUNCTION("""COMPUTED_VALUE"""),743.0)</f>
        <v>743</v>
      </c>
      <c r="I59" s="119" t="str">
        <f>IFERROR(__xludf.DUMMYFUNCTION("""COMPUTED_VALUE"""),"Danielis Soltysiakas")</f>
        <v>Danielis Soltysiakas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>
      <c r="A60" s="8"/>
      <c r="B60" s="8"/>
      <c r="C60" s="8"/>
      <c r="D60" s="8"/>
      <c r="E60" s="61"/>
      <c r="G60" s="97"/>
      <c r="H60" s="118">
        <f>IFERROR(__xludf.DUMMYFUNCTION("""COMPUTED_VALUE"""),18.0)</f>
        <v>18</v>
      </c>
      <c r="I60" s="119" t="str">
        <f>IFERROR(__xludf.DUMMYFUNCTION("""COMPUTED_VALUE"""),"Matīss Lācis")</f>
        <v>Matīss Lācis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>
      <c r="A61" s="8"/>
      <c r="B61" s="8"/>
      <c r="C61" s="8"/>
      <c r="D61" s="8"/>
      <c r="E61" s="120"/>
      <c r="F61" s="121"/>
      <c r="G61" s="122"/>
      <c r="H61" s="123">
        <f>IFERROR(__xludf.DUMMYFUNCTION("""COMPUTED_VALUE"""),19.0)</f>
        <v>19</v>
      </c>
      <c r="I61" s="124" t="str">
        <f>IFERROR(__xludf.DUMMYFUNCTION("""COMPUTED_VALUE"""),"Miłosz Gawin")</f>
        <v>Miłosz Gawin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>
      <c r="A62" s="8"/>
      <c r="B62" s="8"/>
      <c r="C62" s="8"/>
      <c r="D62" s="8"/>
      <c r="E62" s="125" t="s">
        <v>11</v>
      </c>
      <c r="F62" s="50"/>
      <c r="G62" s="115"/>
      <c r="H62" s="116">
        <f>IFERROR(__xludf.DUMMYFUNCTION("""COMPUTED_VALUE"""),66.0)</f>
        <v>66</v>
      </c>
      <c r="I62" s="117" t="str">
        <f>IFERROR(__xludf.DUMMYFUNCTION("""COMPUTED_VALUE"""),"Juanan Jorques")</f>
        <v>Juanan Jorques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</row>
    <row r="63">
      <c r="A63" s="8"/>
      <c r="B63" s="8"/>
      <c r="C63" s="8"/>
      <c r="D63" s="8"/>
      <c r="E63" s="61"/>
      <c r="G63" s="97"/>
      <c r="H63" s="118">
        <f>IFERROR(__xludf.DUMMYFUNCTION("""COMPUTED_VALUE"""),808.0)</f>
        <v>808</v>
      </c>
      <c r="I63" s="119" t="str">
        <f>IFERROR(__xludf.DUMMYFUNCTION("""COMPUTED_VALUE"""),"Dima Baydin")</f>
        <v>Dima Baydin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</row>
    <row r="64">
      <c r="A64" s="8"/>
      <c r="B64" s="8"/>
      <c r="C64" s="8"/>
      <c r="D64" s="8"/>
      <c r="E64" s="61"/>
      <c r="G64" s="97"/>
      <c r="H64" s="118">
        <f>IFERROR(__xludf.DUMMYFUNCTION("""COMPUTED_VALUE"""),686.0)</f>
        <v>686</v>
      </c>
      <c r="I64" s="119" t="str">
        <f>IFERROR(__xludf.DUMMYFUNCTION("""COMPUTED_VALUE"""),"Luis Treviño")</f>
        <v>Luis Treviño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</row>
    <row r="65">
      <c r="A65" s="8"/>
      <c r="B65" s="8"/>
      <c r="C65" s="8"/>
      <c r="D65" s="8"/>
      <c r="E65" s="61"/>
      <c r="G65" s="97"/>
      <c r="H65" s="118">
        <f>IFERROR(__xludf.DUMMYFUNCTION("""COMPUTED_VALUE"""),13.0)</f>
        <v>13</v>
      </c>
      <c r="I65" s="119" t="str">
        <f>IFERROR(__xludf.DUMMYFUNCTION("""COMPUTED_VALUE"""),"Fredrik Blokhus")</f>
        <v>Fredrik Blokhus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</row>
    <row r="66">
      <c r="A66" s="8"/>
      <c r="B66" s="8"/>
      <c r="C66" s="8"/>
      <c r="D66" s="8"/>
      <c r="E66" s="61"/>
      <c r="G66" s="97"/>
      <c r="H66" s="118">
        <f>IFERROR(__xludf.DUMMYFUNCTION("""COMPUTED_VALUE"""),410.0)</f>
        <v>410</v>
      </c>
      <c r="I66" s="119" t="str">
        <f>IFERROR(__xludf.DUMMYFUNCTION("""COMPUTED_VALUE"""),"Chase Cronin")</f>
        <v>Chase Cronin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</row>
    <row r="67">
      <c r="A67" s="8"/>
      <c r="B67" s="8"/>
      <c r="C67" s="8"/>
      <c r="D67" s="8"/>
      <c r="E67" s="61"/>
      <c r="G67" s="97"/>
      <c r="H67" s="118">
        <f>IFERROR(__xludf.DUMMYFUNCTION("""COMPUTED_VALUE"""),4.0)</f>
        <v>4</v>
      </c>
      <c r="I67" s="119" t="str">
        <f>IFERROR(__xludf.DUMMYFUNCTION("""COMPUTED_VALUE"""),"Paweł Kałużka")</f>
        <v>Paweł Kałużka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</row>
    <row r="68">
      <c r="A68" s="8"/>
      <c r="B68" s="8"/>
      <c r="C68" s="8"/>
      <c r="D68" s="8"/>
      <c r="E68" s="61"/>
      <c r="G68" s="97"/>
      <c r="H68" s="118">
        <f>IFERROR(__xludf.DUMMYFUNCTION("""COMPUTED_VALUE"""),314.0)</f>
        <v>314</v>
      </c>
      <c r="I68" s="119" t="str">
        <f>IFERROR(__xludf.DUMMYFUNCTION("""COMPUTED_VALUE"""),"Adrian Roncero")</f>
        <v>Adrian Roncero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</row>
    <row r="69">
      <c r="A69" s="8"/>
      <c r="B69" s="8"/>
      <c r="C69" s="8"/>
      <c r="D69" s="8"/>
      <c r="E69" s="120"/>
      <c r="F69" s="121"/>
      <c r="G69" s="122"/>
      <c r="H69" s="123">
        <f>IFERROR(__xludf.DUMMYFUNCTION("""COMPUTED_VALUE"""),117.0)</f>
        <v>117</v>
      </c>
      <c r="I69" s="124" t="str">
        <f>IFERROR(__xludf.DUMMYFUNCTION("""COMPUTED_VALUE"""),"Liliana Lang")</f>
        <v>Liliana Lang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</row>
    <row r="70">
      <c r="A70" s="8"/>
      <c r="B70" s="8"/>
      <c r="C70" s="8"/>
      <c r="D70" s="8"/>
      <c r="E70" s="114" t="s">
        <v>12</v>
      </c>
      <c r="F70" s="50"/>
      <c r="G70" s="115"/>
      <c r="H70" s="116">
        <f>IFERROR(__xludf.DUMMYFUNCTION("""COMPUTED_VALUE"""),26.0)</f>
        <v>26</v>
      </c>
      <c r="I70" s="117" t="str">
        <f>IFERROR(__xludf.DUMMYFUNCTION("""COMPUTED_VALUE"""),"Iban Torreblanca")</f>
        <v>Iban Torreblanca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</row>
    <row r="71">
      <c r="A71" s="8"/>
      <c r="B71" s="8"/>
      <c r="C71" s="8"/>
      <c r="D71" s="8"/>
      <c r="E71" s="61"/>
      <c r="G71" s="97"/>
      <c r="H71" s="118">
        <f>IFERROR(__xludf.DUMMYFUNCTION("""COMPUTED_VALUE"""),9.0)</f>
        <v>9</v>
      </c>
      <c r="I71" s="119" t="str">
        <f>IFERROR(__xludf.DUMMYFUNCTION("""COMPUTED_VALUE"""),"Benas Jonutis")</f>
        <v>Benas Jonutis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</row>
    <row r="72">
      <c r="A72" s="8"/>
      <c r="B72" s="8"/>
      <c r="C72" s="8"/>
      <c r="D72" s="8"/>
      <c r="E72" s="61"/>
      <c r="G72" s="97"/>
      <c r="H72" s="118">
        <f>IFERROR(__xludf.DUMMYFUNCTION("""COMPUTED_VALUE"""),65.0)</f>
        <v>65</v>
      </c>
      <c r="I72" s="119" t="str">
        <f>IFERROR(__xludf.DUMMYFUNCTION("""COMPUTED_VALUE"""),"Juuso Järvenpää")</f>
        <v>Juuso Järvenpää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</row>
    <row r="73">
      <c r="A73" s="8"/>
      <c r="B73" s="8"/>
      <c r="C73" s="8"/>
      <c r="D73" s="8"/>
      <c r="E73" s="61"/>
      <c r="G73" s="97"/>
      <c r="H73" s="118">
        <f>IFERROR(__xludf.DUMMYFUNCTION("""COMPUTED_VALUE"""),444.0)</f>
        <v>444</v>
      </c>
      <c r="I73" s="119" t="str">
        <f>IFERROR(__xludf.DUMMYFUNCTION("""COMPUTED_VALUE"""),"Wojciech Denis")</f>
        <v>Wojciech Denis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</row>
    <row r="74">
      <c r="A74" s="8"/>
      <c r="B74" s="8"/>
      <c r="C74" s="8"/>
      <c r="D74" s="8"/>
      <c r="E74" s="61"/>
      <c r="G74" s="97"/>
      <c r="H74" s="118">
        <f>IFERROR(__xludf.DUMMYFUNCTION("""COMPUTED_VALUE"""),336.0)</f>
        <v>336</v>
      </c>
      <c r="I74" s="119" t="str">
        <f>IFERROR(__xludf.DUMMYFUNCTION("""COMPUTED_VALUE"""),"Darius Ostreika")</f>
        <v>Darius Ostreika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</row>
    <row r="75">
      <c r="A75" s="8"/>
      <c r="B75" s="8"/>
      <c r="C75" s="8"/>
      <c r="D75" s="8"/>
      <c r="E75" s="61"/>
      <c r="G75" s="97"/>
      <c r="H75" s="118">
        <f>IFERROR(__xludf.DUMMYFUNCTION("""COMPUTED_VALUE"""),78.0)</f>
        <v>78</v>
      </c>
      <c r="I75" s="119" t="str">
        <f>IFERROR(__xludf.DUMMYFUNCTION("""COMPUTED_VALUE"""),"William Diaz-Santiago")</f>
        <v>William Diaz-Santiago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</row>
    <row r="76">
      <c r="A76" s="8"/>
      <c r="B76" s="8"/>
      <c r="C76" s="8"/>
      <c r="D76" s="8"/>
      <c r="E76" s="61"/>
      <c r="G76" s="97"/>
      <c r="H76" s="118">
        <f>IFERROR(__xludf.DUMMYFUNCTION("""COMPUTED_VALUE"""),414.0)</f>
        <v>414</v>
      </c>
      <c r="I76" s="119" t="str">
        <f>IFERROR(__xludf.DUMMYFUNCTION("""COMPUTED_VALUE"""),"Tytus Rosiński")</f>
        <v>Tytus Rosiński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</row>
    <row r="77">
      <c r="A77" s="8"/>
      <c r="B77" s="8"/>
      <c r="C77" s="8"/>
      <c r="D77" s="8"/>
      <c r="E77" s="120"/>
      <c r="F77" s="121"/>
      <c r="G77" s="122"/>
      <c r="H77" s="123">
        <f>IFERROR(__xludf.DUMMYFUNCTION("""COMPUTED_VALUE"""),222.0)</f>
        <v>222</v>
      </c>
      <c r="I77" s="124" t="str">
        <f>IFERROR(__xludf.DUMMYFUNCTION("""COMPUTED_VALUE"""),"Edvinas Murauskas")</f>
        <v>Edvinas Murauskas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</row>
    <row r="78">
      <c r="A78" s="8"/>
      <c r="B78" s="8"/>
      <c r="C78" s="8"/>
      <c r="D78" s="8"/>
      <c r="E78" s="125" t="s">
        <v>13</v>
      </c>
      <c r="F78" s="50"/>
      <c r="G78" s="115"/>
      <c r="H78" s="116">
        <f>IFERROR(__xludf.DUMMYFUNCTION("""COMPUTED_VALUE"""),211.0)</f>
        <v>211</v>
      </c>
      <c r="I78" s="117" t="str">
        <f>IFERROR(__xludf.DUMMYFUNCTION("""COMPUTED_VALUE"""),"David Laczko")</f>
        <v>David Laczko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</row>
    <row r="79">
      <c r="A79" s="8"/>
      <c r="B79" s="8"/>
      <c r="C79" s="8"/>
      <c r="D79" s="8"/>
      <c r="E79" s="61"/>
      <c r="G79" s="97"/>
      <c r="H79" s="118">
        <f>IFERROR(__xludf.DUMMYFUNCTION("""COMPUTED_VALUE"""),88.0)</f>
        <v>88</v>
      </c>
      <c r="I79" s="119" t="str">
        <f>IFERROR(__xludf.DUMMYFUNCTION("""COMPUTED_VALUE"""),"Daniel Kvasha")</f>
        <v>Daniel Kvasha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</row>
    <row r="80">
      <c r="A80" s="8"/>
      <c r="B80" s="8"/>
      <c r="C80" s="8"/>
      <c r="D80" s="8"/>
      <c r="E80" s="61"/>
      <c r="G80" s="97"/>
      <c r="H80" s="118">
        <f>IFERROR(__xludf.DUMMYFUNCTION("""COMPUTED_VALUE"""),649.0)</f>
        <v>649</v>
      </c>
      <c r="I80" s="119" t="str">
        <f>IFERROR(__xludf.DUMMYFUNCTION("""COMPUTED_VALUE"""),"Simon Sandman")</f>
        <v>Simon Sandman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</row>
    <row r="81">
      <c r="A81" s="8"/>
      <c r="B81" s="8"/>
      <c r="C81" s="8"/>
      <c r="D81" s="8"/>
      <c r="E81" s="61"/>
      <c r="G81" s="97"/>
      <c r="H81" s="118">
        <f>IFERROR(__xludf.DUMMYFUNCTION("""COMPUTED_VALUE"""),99.0)</f>
        <v>99</v>
      </c>
      <c r="I81" s="119" t="str">
        <f>IFERROR(__xludf.DUMMYFUNCTION("""COMPUTED_VALUE"""),"Oihan Polo")</f>
        <v>Oihan Polo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</row>
    <row r="82">
      <c r="A82" s="8"/>
      <c r="B82" s="8"/>
      <c r="C82" s="8"/>
      <c r="D82" s="8"/>
      <c r="E82" s="61"/>
      <c r="G82" s="97"/>
      <c r="H82" s="118">
        <f>IFERROR(__xludf.DUMMYFUNCTION("""COMPUTED_VALUE"""),41.0)</f>
        <v>41</v>
      </c>
      <c r="I82" s="119" t="str">
        <f>IFERROR(__xludf.DUMMYFUNCTION("""COMPUTED_VALUE"""),"Armands Vestmanis")</f>
        <v>Armands Vestmanis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</row>
    <row r="83">
      <c r="A83" s="8"/>
      <c r="B83" s="8"/>
      <c r="C83" s="8"/>
      <c r="D83" s="8"/>
      <c r="E83" s="61"/>
      <c r="G83" s="97"/>
      <c r="H83" s="118">
        <f>IFERROR(__xludf.DUMMYFUNCTION("""COMPUTED_VALUE"""),507.0)</f>
        <v>507</v>
      </c>
      <c r="I83" s="119" t="str">
        <f>IFERROR(__xludf.DUMMYFUNCTION("""COMPUTED_VALUE"""),"Alexander skok Jensen")</f>
        <v>Alexander skok Jensen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</row>
    <row r="84">
      <c r="A84" s="8"/>
      <c r="B84" s="8"/>
      <c r="C84" s="8"/>
      <c r="D84" s="8"/>
      <c r="E84" s="61"/>
      <c r="G84" s="97"/>
      <c r="H84" s="118">
        <f>IFERROR(__xludf.DUMMYFUNCTION("""COMPUTED_VALUE"""),412.0)</f>
        <v>412</v>
      </c>
      <c r="I84" s="119" t="str">
        <f>IFERROR(__xludf.DUMMYFUNCTION("""COMPUTED_VALUE"""),"Owen Ellis")</f>
        <v>Owen Ellis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</row>
    <row r="85">
      <c r="A85" s="8"/>
      <c r="B85" s="8"/>
      <c r="C85" s="8"/>
      <c r="D85" s="8"/>
      <c r="E85" s="120"/>
      <c r="F85" s="121"/>
      <c r="G85" s="122"/>
      <c r="H85" s="123">
        <f>IFERROR(__xludf.DUMMYFUNCTION("""COMPUTED_VALUE"""),48.0)</f>
        <v>48</v>
      </c>
      <c r="I85" s="124" t="str">
        <f>IFERROR(__xludf.DUMMYFUNCTION("""COMPUTED_VALUE"""),"Mantas Savickas")</f>
        <v>Mantas Savickas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</row>
    <row r="86">
      <c r="A86" s="8"/>
      <c r="B86" s="8"/>
      <c r="C86" s="8"/>
      <c r="D86" s="8"/>
      <c r="E86" s="114" t="s">
        <v>14</v>
      </c>
      <c r="F86" s="50"/>
      <c r="G86" s="115"/>
      <c r="H86" s="116">
        <f>IFERROR(__xludf.DUMMYFUNCTION("""COMPUTED_VALUE"""),895.0)</f>
        <v>895</v>
      </c>
      <c r="I86" s="117" t="str">
        <f>IFERROR(__xludf.DUMMYFUNCTION("""COMPUTED_VALUE"""),"Siim Voort")</f>
        <v>Siim Voort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</row>
    <row r="87">
      <c r="A87" s="8"/>
      <c r="B87" s="8"/>
      <c r="C87" s="8"/>
      <c r="D87" s="8"/>
      <c r="E87" s="61"/>
      <c r="G87" s="97"/>
      <c r="H87" s="118">
        <f>IFERROR(__xludf.DUMMYFUNCTION("""COMPUTED_VALUE"""),111.0)</f>
        <v>111</v>
      </c>
      <c r="I87" s="119" t="str">
        <f>IFERROR(__xludf.DUMMYFUNCTION("""COMPUTED_VALUE"""),"Zydrunas Petkevicius")</f>
        <v>Zydrunas Petkevicius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</row>
    <row r="88">
      <c r="A88" s="8"/>
      <c r="B88" s="8"/>
      <c r="C88" s="8"/>
      <c r="D88" s="8"/>
      <c r="E88" s="61"/>
      <c r="G88" s="97"/>
      <c r="H88" s="118">
        <f>IFERROR(__xludf.DUMMYFUNCTION("""COMPUTED_VALUE"""),401.0)</f>
        <v>401</v>
      </c>
      <c r="I88" s="119" t="str">
        <f>IFERROR(__xludf.DUMMYFUNCTION("""COMPUTED_VALUE"""),"Artur Kula")</f>
        <v>Artur Kula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</row>
    <row r="89">
      <c r="A89" s="8"/>
      <c r="B89" s="8"/>
      <c r="C89" s="8"/>
      <c r="D89" s="8"/>
      <c r="E89" s="61"/>
      <c r="G89" s="97"/>
      <c r="H89" s="118">
        <f>IFERROR(__xludf.DUMMYFUNCTION("""COMPUTED_VALUE"""),18.0)</f>
        <v>18</v>
      </c>
      <c r="I89" s="119" t="str">
        <f>IFERROR(__xludf.DUMMYFUNCTION("""COMPUTED_VALUE"""),"Matīss Lācis")</f>
        <v>Matīss Lācis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</row>
    <row r="90">
      <c r="A90" s="8"/>
      <c r="B90" s="8"/>
      <c r="C90" s="8"/>
      <c r="D90" s="8"/>
      <c r="E90" s="61"/>
      <c r="G90" s="97"/>
      <c r="H90" s="118">
        <f>IFERROR(__xludf.DUMMYFUNCTION("""COMPUTED_VALUE"""),66.0)</f>
        <v>66</v>
      </c>
      <c r="I90" s="119" t="str">
        <f>IFERROR(__xludf.DUMMYFUNCTION("""COMPUTED_VALUE"""),"Juanan Jorques")</f>
        <v>Juanan Jorques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</row>
    <row r="91">
      <c r="A91" s="8"/>
      <c r="B91" s="8"/>
      <c r="C91" s="8"/>
      <c r="D91" s="8"/>
      <c r="E91" s="61"/>
      <c r="G91" s="97"/>
      <c r="H91" s="118">
        <f>IFERROR(__xludf.DUMMYFUNCTION("""COMPUTED_VALUE"""),686.0)</f>
        <v>686</v>
      </c>
      <c r="I91" s="119" t="str">
        <f>IFERROR(__xludf.DUMMYFUNCTION("""COMPUTED_VALUE"""),"Luis Treviño")</f>
        <v>Luis Treviño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</row>
    <row r="92">
      <c r="A92" s="8"/>
      <c r="B92" s="8"/>
      <c r="C92" s="8"/>
      <c r="D92" s="8"/>
      <c r="E92" s="61"/>
      <c r="G92" s="97"/>
      <c r="H92" s="118">
        <f>IFERROR(__xludf.DUMMYFUNCTION("""COMPUTED_VALUE"""),410.0)</f>
        <v>410</v>
      </c>
      <c r="I92" s="119" t="str">
        <f>IFERROR(__xludf.DUMMYFUNCTION("""COMPUTED_VALUE"""),"Chase Cronin")</f>
        <v>Chase Cronin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</row>
    <row r="93">
      <c r="A93" s="8"/>
      <c r="B93" s="8"/>
      <c r="C93" s="8"/>
      <c r="D93" s="8"/>
      <c r="E93" s="120"/>
      <c r="F93" s="121"/>
      <c r="G93" s="122"/>
      <c r="H93" s="123">
        <f>IFERROR(__xludf.DUMMYFUNCTION("""COMPUTED_VALUE"""),314.0)</f>
        <v>314</v>
      </c>
      <c r="I93" s="124" t="str">
        <f>IFERROR(__xludf.DUMMYFUNCTION("""COMPUTED_VALUE"""),"Adrian Roncero")</f>
        <v>Adrian Roncero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</row>
    <row r="94">
      <c r="A94" s="8"/>
      <c r="B94" s="8"/>
      <c r="C94" s="8"/>
      <c r="D94" s="8"/>
      <c r="E94" s="125" t="s">
        <v>15</v>
      </c>
      <c r="F94" s="50"/>
      <c r="G94" s="115"/>
      <c r="H94" s="116">
        <f>IFERROR(__xludf.DUMMYFUNCTION("""COMPUTED_VALUE"""),9.0)</f>
        <v>9</v>
      </c>
      <c r="I94" s="117" t="str">
        <f>IFERROR(__xludf.DUMMYFUNCTION("""COMPUTED_VALUE"""),"Benas Jonutis")</f>
        <v>Benas Jonutis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</row>
    <row r="95">
      <c r="A95" s="8"/>
      <c r="B95" s="8"/>
      <c r="C95" s="8"/>
      <c r="D95" s="8"/>
      <c r="E95" s="61"/>
      <c r="G95" s="97"/>
      <c r="H95" s="118">
        <f>IFERROR(__xludf.DUMMYFUNCTION("""COMPUTED_VALUE"""),444.0)</f>
        <v>444</v>
      </c>
      <c r="I95" s="119" t="str">
        <f>IFERROR(__xludf.DUMMYFUNCTION("""COMPUTED_VALUE"""),"Wojciech Denis")</f>
        <v>Wojciech Denis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</row>
    <row r="96">
      <c r="A96" s="8"/>
      <c r="B96" s="8"/>
      <c r="C96" s="8"/>
      <c r="D96" s="8"/>
      <c r="E96" s="61"/>
      <c r="G96" s="97"/>
      <c r="H96" s="118">
        <f>IFERROR(__xludf.DUMMYFUNCTION("""COMPUTED_VALUE"""),78.0)</f>
        <v>78</v>
      </c>
      <c r="I96" s="119" t="str">
        <f>IFERROR(__xludf.DUMMYFUNCTION("""COMPUTED_VALUE"""),"William Diaz-Santiago")</f>
        <v>William Diaz-Santiago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</row>
    <row r="97">
      <c r="A97" s="8"/>
      <c r="B97" s="8"/>
      <c r="C97" s="8"/>
      <c r="D97" s="8"/>
      <c r="E97" s="61"/>
      <c r="G97" s="97"/>
      <c r="H97" s="118">
        <f>IFERROR(__xludf.DUMMYFUNCTION("""COMPUTED_VALUE"""),222.0)</f>
        <v>222</v>
      </c>
      <c r="I97" s="119" t="str">
        <f>IFERROR(__xludf.DUMMYFUNCTION("""COMPUTED_VALUE"""),"Edvinas Murauskas")</f>
        <v>Edvinas Murauskas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</row>
    <row r="98">
      <c r="A98" s="8"/>
      <c r="B98" s="8"/>
      <c r="C98" s="8"/>
      <c r="D98" s="8"/>
      <c r="E98" s="61"/>
      <c r="G98" s="97"/>
      <c r="H98" s="118">
        <f>IFERROR(__xludf.DUMMYFUNCTION("""COMPUTED_VALUE"""),211.0)</f>
        <v>211</v>
      </c>
      <c r="I98" s="119" t="str">
        <f>IFERROR(__xludf.DUMMYFUNCTION("""COMPUTED_VALUE"""),"David Laczko")</f>
        <v>David Laczko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</row>
    <row r="99">
      <c r="A99" s="8"/>
      <c r="B99" s="8"/>
      <c r="C99" s="8"/>
      <c r="D99" s="8"/>
      <c r="E99" s="61"/>
      <c r="G99" s="97"/>
      <c r="H99" s="118">
        <f>IFERROR(__xludf.DUMMYFUNCTION("""COMPUTED_VALUE"""),99.0)</f>
        <v>99</v>
      </c>
      <c r="I99" s="119" t="str">
        <f>IFERROR(__xludf.DUMMYFUNCTION("""COMPUTED_VALUE"""),"Oihan Polo")</f>
        <v>Oihan Polo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</row>
    <row r="100">
      <c r="A100" s="8"/>
      <c r="B100" s="8"/>
      <c r="C100" s="8"/>
      <c r="D100" s="8"/>
      <c r="E100" s="61"/>
      <c r="G100" s="97"/>
      <c r="H100" s="118">
        <f>IFERROR(__xludf.DUMMYFUNCTION("""COMPUTED_VALUE"""),41.0)</f>
        <v>41</v>
      </c>
      <c r="I100" s="119" t="str">
        <f>IFERROR(__xludf.DUMMYFUNCTION("""COMPUTED_VALUE"""),"Armands Vestmanis")</f>
        <v>Armands Vestmanis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</row>
    <row r="101">
      <c r="A101" s="8"/>
      <c r="B101" s="8"/>
      <c r="C101" s="8"/>
      <c r="D101" s="8"/>
      <c r="E101" s="120"/>
      <c r="F101" s="121"/>
      <c r="G101" s="122"/>
      <c r="H101" s="123">
        <f>IFERROR(__xludf.DUMMYFUNCTION("""COMPUTED_VALUE"""),412.0)</f>
        <v>412</v>
      </c>
      <c r="I101" s="124" t="str">
        <f>IFERROR(__xludf.DUMMYFUNCTION("""COMPUTED_VALUE"""),"Owen Ellis")</f>
        <v>Owen Ellis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</row>
    <row r="102">
      <c r="A102" s="8"/>
      <c r="B102" s="8"/>
      <c r="C102" s="8"/>
      <c r="D102" s="8"/>
      <c r="E102" s="114" t="s">
        <v>16</v>
      </c>
      <c r="F102" s="50"/>
      <c r="G102" s="115"/>
      <c r="H102" s="116">
        <f>IFERROR(__xludf.DUMMYFUNCTION("""COMPUTED_VALUE"""),895.0)</f>
        <v>895</v>
      </c>
      <c r="I102" s="117" t="str">
        <f>IFERROR(__xludf.DUMMYFUNCTION("""COMPUTED_VALUE"""),"Siim Voort")</f>
        <v>Siim Voort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</row>
    <row r="103">
      <c r="A103" s="8"/>
      <c r="B103" s="8"/>
      <c r="C103" s="8"/>
      <c r="D103" s="8"/>
      <c r="E103" s="61"/>
      <c r="G103" s="97"/>
      <c r="H103" s="118">
        <f>IFERROR(__xludf.DUMMYFUNCTION("""COMPUTED_VALUE"""),401.0)</f>
        <v>401</v>
      </c>
      <c r="I103" s="119" t="str">
        <f>IFERROR(__xludf.DUMMYFUNCTION("""COMPUTED_VALUE"""),"Artur Kula")</f>
        <v>Artur Kula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</row>
    <row r="104">
      <c r="A104" s="8"/>
      <c r="B104" s="8"/>
      <c r="C104" s="8"/>
      <c r="D104" s="8"/>
      <c r="E104" s="61"/>
      <c r="G104" s="97"/>
      <c r="H104" s="118">
        <f>IFERROR(__xludf.DUMMYFUNCTION("""COMPUTED_VALUE"""),686.0)</f>
        <v>686</v>
      </c>
      <c r="I104" s="119" t="str">
        <f>IFERROR(__xludf.DUMMYFUNCTION("""COMPUTED_VALUE"""),"Luis Treviño")</f>
        <v>Luis Treviño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</row>
    <row r="105">
      <c r="A105" s="8"/>
      <c r="B105" s="8"/>
      <c r="C105" s="8"/>
      <c r="D105" s="8"/>
      <c r="E105" s="61"/>
      <c r="G105" s="97"/>
      <c r="H105" s="118">
        <f>IFERROR(__xludf.DUMMYFUNCTION("""COMPUTED_VALUE"""),410.0)</f>
        <v>410</v>
      </c>
      <c r="I105" s="119" t="str">
        <f>IFERROR(__xludf.DUMMYFUNCTION("""COMPUTED_VALUE"""),"Chase Cronin")</f>
        <v>Chase Cronin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</row>
    <row r="106">
      <c r="A106" s="8"/>
      <c r="B106" s="8"/>
      <c r="C106" s="8"/>
      <c r="D106" s="8"/>
      <c r="E106" s="61"/>
      <c r="G106" s="97"/>
      <c r="H106" s="118">
        <f>IFERROR(__xludf.DUMMYFUNCTION("""COMPUTED_VALUE"""),9.0)</f>
        <v>9</v>
      </c>
      <c r="I106" s="119" t="str">
        <f>IFERROR(__xludf.DUMMYFUNCTION("""COMPUTED_VALUE"""),"Benas Jonutis")</f>
        <v>Benas Jonutis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</row>
    <row r="107">
      <c r="A107" s="8"/>
      <c r="B107" s="8"/>
      <c r="C107" s="8"/>
      <c r="D107" s="8"/>
      <c r="E107" s="61"/>
      <c r="G107" s="97"/>
      <c r="H107" s="118">
        <f>IFERROR(__xludf.DUMMYFUNCTION("""COMPUTED_VALUE"""),78.0)</f>
        <v>78</v>
      </c>
      <c r="I107" s="119" t="str">
        <f>IFERROR(__xludf.DUMMYFUNCTION("""COMPUTED_VALUE"""),"William Diaz-Santiago")</f>
        <v>William Diaz-Santiago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</row>
    <row r="108">
      <c r="A108" s="8"/>
      <c r="B108" s="8"/>
      <c r="C108" s="8"/>
      <c r="D108" s="8"/>
      <c r="E108" s="61"/>
      <c r="G108" s="97"/>
      <c r="H108" s="118">
        <f>IFERROR(__xludf.DUMMYFUNCTION("""COMPUTED_VALUE"""),99.0)</f>
        <v>99</v>
      </c>
      <c r="I108" s="119" t="str">
        <f>IFERROR(__xludf.DUMMYFUNCTION("""COMPUTED_VALUE"""),"Oihan Polo")</f>
        <v>Oihan Polo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</row>
    <row r="109">
      <c r="A109" s="8"/>
      <c r="B109" s="8"/>
      <c r="C109" s="8"/>
      <c r="D109" s="8"/>
      <c r="E109" s="120"/>
      <c r="F109" s="121"/>
      <c r="G109" s="122"/>
      <c r="H109" s="123">
        <f>IFERROR(__xludf.DUMMYFUNCTION("""COMPUTED_VALUE"""),41.0)</f>
        <v>41</v>
      </c>
      <c r="I109" s="124" t="str">
        <f>IFERROR(__xludf.DUMMYFUNCTION("""COMPUTED_VALUE"""),"Armands Vestmanis")</f>
        <v>Armands Vestmanis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</row>
    <row r="110">
      <c r="A110" s="8"/>
      <c r="B110" s="8"/>
      <c r="C110" s="8"/>
      <c r="D110" s="8"/>
      <c r="E110" s="125" t="s">
        <v>17</v>
      </c>
      <c r="F110" s="50"/>
      <c r="G110" s="115"/>
      <c r="H110" s="116">
        <f>IFERROR(__xludf.DUMMYFUNCTION("""COMPUTED_VALUE"""),895.0)</f>
        <v>895</v>
      </c>
      <c r="I110" s="117" t="str">
        <f>IFERROR(__xludf.DUMMYFUNCTION("""COMPUTED_VALUE"""),"Siim Voort")</f>
        <v>Siim Voort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</row>
    <row r="111">
      <c r="A111" s="8"/>
      <c r="B111" s="8"/>
      <c r="C111" s="8"/>
      <c r="D111" s="8"/>
      <c r="E111" s="61"/>
      <c r="G111" s="97"/>
      <c r="H111" s="118">
        <f>IFERROR(__xludf.DUMMYFUNCTION("""COMPUTED_VALUE"""),410.0)</f>
        <v>410</v>
      </c>
      <c r="I111" s="119" t="str">
        <f>IFERROR(__xludf.DUMMYFUNCTION("""COMPUTED_VALUE"""),"Chase Cronin")</f>
        <v>Chase Cronin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</row>
    <row r="112">
      <c r="A112" s="8"/>
      <c r="B112" s="8"/>
      <c r="C112" s="8"/>
      <c r="D112" s="8"/>
      <c r="E112" s="61"/>
      <c r="G112" s="97"/>
      <c r="H112" s="118">
        <f>IFERROR(__xludf.DUMMYFUNCTION("""COMPUTED_VALUE"""),9.0)</f>
        <v>9</v>
      </c>
      <c r="I112" s="119" t="str">
        <f>IFERROR(__xludf.DUMMYFUNCTION("""COMPUTED_VALUE"""),"Benas Jonutis")</f>
        <v>Benas Jonutis</v>
      </c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</row>
    <row r="113">
      <c r="A113" s="8"/>
      <c r="B113" s="8"/>
      <c r="C113" s="8"/>
      <c r="D113" s="8"/>
      <c r="E113" s="61"/>
      <c r="G113" s="97"/>
      <c r="H113" s="118">
        <f>IFERROR(__xludf.DUMMYFUNCTION("""COMPUTED_VALUE"""),41.0)</f>
        <v>41</v>
      </c>
      <c r="I113" s="119" t="str">
        <f>IFERROR(__xludf.DUMMYFUNCTION("""COMPUTED_VALUE"""),"Armands Vestmanis")</f>
        <v>Armands Vestmanis</v>
      </c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</row>
    <row r="114">
      <c r="A114" s="8"/>
      <c r="B114" s="8"/>
      <c r="C114" s="8"/>
      <c r="D114" s="8"/>
      <c r="E114" s="61"/>
      <c r="G114" s="97"/>
      <c r="H114" s="118">
        <f>IFERROR(__xludf.DUMMYFUNCTION("""COMPUTED_VALUE"""),895.0)</f>
        <v>895</v>
      </c>
      <c r="I114" s="119" t="str">
        <f>IFERROR(__xludf.DUMMYFUNCTION("""COMPUTED_VALUE"""),"Siim Voort")</f>
        <v>Siim Voort</v>
      </c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</row>
    <row r="115">
      <c r="A115" s="8"/>
      <c r="B115" s="8"/>
      <c r="C115" s="8"/>
      <c r="D115" s="8"/>
      <c r="E115" s="61"/>
      <c r="G115" s="97"/>
      <c r="H115" s="118">
        <f>IFERROR(__xludf.DUMMYFUNCTION("""COMPUTED_VALUE"""),9.0)</f>
        <v>9</v>
      </c>
      <c r="I115" s="119" t="str">
        <f>IFERROR(__xludf.DUMMYFUNCTION("""COMPUTED_VALUE"""),"Benas Jonutis")</f>
        <v>Benas Jonutis</v>
      </c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</row>
    <row r="116">
      <c r="A116" s="8"/>
      <c r="B116" s="8"/>
      <c r="C116" s="8"/>
      <c r="D116" s="8"/>
      <c r="E116" s="61"/>
      <c r="G116" s="97"/>
      <c r="H116" s="118">
        <f>IFERROR(__xludf.DUMMYFUNCTION("""COMPUTED_VALUE"""),410.0)</f>
        <v>410</v>
      </c>
      <c r="I116" s="119" t="str">
        <f>IFERROR(__xludf.DUMMYFUNCTION("""COMPUTED_VALUE"""),"Chase Cronin")</f>
        <v>Chase Cronin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</row>
    <row r="117">
      <c r="A117" s="8"/>
      <c r="B117" s="8"/>
      <c r="C117" s="8"/>
      <c r="D117" s="8"/>
      <c r="E117" s="120"/>
      <c r="F117" s="121"/>
      <c r="G117" s="122"/>
      <c r="H117" s="123">
        <f>IFERROR(__xludf.DUMMYFUNCTION("""COMPUTED_VALUE"""),41.0)</f>
        <v>41</v>
      </c>
      <c r="I117" s="124" t="str">
        <f>IFERROR(__xludf.DUMMYFUNCTION("""COMPUTED_VALUE"""),"Armands Vestmanis")</f>
        <v>Armands Vestmanis</v>
      </c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</row>
    <row r="791">
      <c r="A791" s="144"/>
      <c r="B791" s="144"/>
      <c r="C791" s="144"/>
      <c r="D791" s="144"/>
      <c r="E791" s="144"/>
      <c r="F791" s="144"/>
      <c r="G791" s="144"/>
      <c r="H791" s="144"/>
      <c r="I791" s="144"/>
      <c r="J791" s="144"/>
      <c r="K791" s="144"/>
      <c r="L791" s="144"/>
      <c r="M791" s="144"/>
      <c r="N791" s="144"/>
      <c r="O791" s="144"/>
      <c r="P791" s="144"/>
      <c r="Q791" s="144"/>
      <c r="R791" s="144"/>
      <c r="S791" s="144"/>
      <c r="T791" s="144"/>
      <c r="U791" s="144"/>
      <c r="V791" s="144"/>
      <c r="W791" s="144"/>
      <c r="X791" s="144"/>
      <c r="Y791" s="144"/>
      <c r="Z791" s="144"/>
      <c r="AA791" s="144"/>
      <c r="AB791" s="144"/>
      <c r="AC791" s="144"/>
      <c r="AD791" s="144"/>
      <c r="AE791" s="144"/>
      <c r="AF791" s="144"/>
      <c r="AG791" s="144"/>
      <c r="AH791" s="144"/>
      <c r="AI791" s="144"/>
      <c r="AJ791" s="144"/>
      <c r="AK791" s="144"/>
      <c r="AL791" s="144"/>
      <c r="AM791" s="144"/>
      <c r="AN791" s="144"/>
      <c r="AO791" s="144"/>
      <c r="AP791" s="144"/>
      <c r="AQ791" s="144"/>
      <c r="AR791" s="144"/>
      <c r="AS791" s="144"/>
    </row>
    <row r="792">
      <c r="A792" s="144"/>
      <c r="B792" s="144"/>
      <c r="C792" s="144"/>
      <c r="D792" s="144"/>
      <c r="E792" s="144"/>
      <c r="F792" s="144"/>
      <c r="G792" s="144"/>
      <c r="H792" s="144"/>
      <c r="I792" s="144"/>
      <c r="J792" s="144"/>
      <c r="K792" s="144"/>
      <c r="L792" s="144"/>
      <c r="M792" s="144"/>
      <c r="N792" s="144"/>
      <c r="O792" s="144"/>
      <c r="P792" s="144"/>
      <c r="Q792" s="144"/>
      <c r="R792" s="144"/>
      <c r="S792" s="144"/>
      <c r="T792" s="144"/>
      <c r="U792" s="144"/>
      <c r="V792" s="144"/>
      <c r="W792" s="144"/>
      <c r="X792" s="144"/>
      <c r="Y792" s="144"/>
      <c r="Z792" s="144"/>
      <c r="AA792" s="144"/>
      <c r="AB792" s="144"/>
      <c r="AC792" s="144"/>
      <c r="AD792" s="144"/>
      <c r="AE792" s="144"/>
      <c r="AF792" s="144"/>
      <c r="AG792" s="144"/>
      <c r="AH792" s="144"/>
      <c r="AI792" s="144"/>
      <c r="AJ792" s="144"/>
      <c r="AK792" s="144"/>
      <c r="AL792" s="144"/>
      <c r="AM792" s="144"/>
      <c r="AN792" s="144"/>
      <c r="AO792" s="144"/>
      <c r="AP792" s="144"/>
      <c r="AQ792" s="144"/>
      <c r="AR792" s="144"/>
      <c r="AS792" s="144"/>
    </row>
    <row r="793">
      <c r="A793" s="144"/>
      <c r="B793" s="144"/>
      <c r="C793" s="144"/>
      <c r="D793" s="144"/>
      <c r="E793" s="144"/>
      <c r="F793" s="144"/>
      <c r="G793" s="144"/>
      <c r="H793" s="144"/>
      <c r="I793" s="144"/>
      <c r="J793" s="144"/>
      <c r="K793" s="144"/>
      <c r="L793" s="144"/>
      <c r="M793" s="144"/>
      <c r="N793" s="144"/>
      <c r="O793" s="144"/>
      <c r="P793" s="144"/>
      <c r="Q793" s="144"/>
      <c r="R793" s="144"/>
      <c r="S793" s="144"/>
      <c r="T793" s="144"/>
      <c r="U793" s="144"/>
      <c r="V793" s="144"/>
      <c r="W793" s="144"/>
      <c r="X793" s="144"/>
      <c r="Y793" s="144"/>
      <c r="Z793" s="144"/>
      <c r="AA793" s="144"/>
      <c r="AB793" s="144"/>
      <c r="AC793" s="144"/>
      <c r="AD793" s="144"/>
      <c r="AE793" s="144"/>
      <c r="AF793" s="144"/>
      <c r="AG793" s="144"/>
      <c r="AH793" s="144"/>
      <c r="AI793" s="144"/>
      <c r="AJ793" s="144"/>
      <c r="AK793" s="144"/>
      <c r="AL793" s="144"/>
      <c r="AM793" s="144"/>
      <c r="AN793" s="144"/>
      <c r="AO793" s="144"/>
      <c r="AP793" s="144"/>
      <c r="AQ793" s="144"/>
      <c r="AR793" s="144"/>
      <c r="AS793" s="144"/>
    </row>
    <row r="794">
      <c r="A794" s="144"/>
      <c r="B794" s="144"/>
      <c r="C794" s="144"/>
      <c r="D794" s="144"/>
      <c r="E794" s="144"/>
      <c r="F794" s="144"/>
      <c r="G794" s="144"/>
      <c r="H794" s="144"/>
      <c r="I794" s="144"/>
      <c r="J794" s="144"/>
      <c r="K794" s="144"/>
      <c r="L794" s="144"/>
      <c r="M794" s="144"/>
      <c r="N794" s="144"/>
      <c r="O794" s="144"/>
      <c r="P794" s="144"/>
      <c r="Q794" s="144"/>
      <c r="R794" s="144"/>
      <c r="S794" s="144"/>
      <c r="T794" s="144"/>
      <c r="U794" s="144"/>
      <c r="V794" s="144"/>
      <c r="W794" s="144"/>
      <c r="X794" s="144"/>
      <c r="Y794" s="144"/>
      <c r="Z794" s="144"/>
      <c r="AA794" s="144"/>
      <c r="AB794" s="144"/>
      <c r="AC794" s="144"/>
      <c r="AD794" s="144"/>
      <c r="AE794" s="144"/>
      <c r="AF794" s="144"/>
      <c r="AG794" s="144"/>
      <c r="AH794" s="144"/>
      <c r="AI794" s="144"/>
      <c r="AJ794" s="144"/>
      <c r="AK794" s="144"/>
      <c r="AL794" s="144"/>
      <c r="AM794" s="144"/>
      <c r="AN794" s="144"/>
      <c r="AO794" s="144"/>
      <c r="AP794" s="144"/>
      <c r="AQ794" s="144"/>
      <c r="AR794" s="144"/>
      <c r="AS794" s="144"/>
    </row>
    <row r="795">
      <c r="A795" s="144"/>
      <c r="B795" s="144"/>
      <c r="C795" s="144"/>
      <c r="D795" s="144"/>
      <c r="E795" s="144"/>
      <c r="F795" s="144"/>
      <c r="G795" s="144"/>
      <c r="H795" s="144"/>
      <c r="I795" s="144"/>
      <c r="J795" s="144"/>
      <c r="K795" s="144"/>
      <c r="L795" s="144"/>
      <c r="M795" s="144"/>
      <c r="N795" s="144"/>
      <c r="O795" s="144"/>
      <c r="P795" s="144"/>
      <c r="Q795" s="144"/>
      <c r="R795" s="144"/>
      <c r="S795" s="144"/>
      <c r="T795" s="144"/>
      <c r="U795" s="144"/>
      <c r="V795" s="144"/>
      <c r="W795" s="144"/>
      <c r="X795" s="144"/>
      <c r="Y795" s="144"/>
      <c r="Z795" s="144"/>
      <c r="AA795" s="144"/>
      <c r="AB795" s="144"/>
      <c r="AC795" s="144"/>
      <c r="AD795" s="144"/>
      <c r="AE795" s="144"/>
      <c r="AF795" s="144"/>
      <c r="AG795" s="144"/>
      <c r="AH795" s="144"/>
      <c r="AI795" s="144"/>
      <c r="AJ795" s="144"/>
      <c r="AK795" s="144"/>
      <c r="AL795" s="144"/>
      <c r="AM795" s="144"/>
      <c r="AN795" s="144"/>
      <c r="AO795" s="144"/>
      <c r="AP795" s="144"/>
      <c r="AQ795" s="144"/>
      <c r="AR795" s="144"/>
      <c r="AS795" s="144"/>
    </row>
    <row r="796">
      <c r="A796" s="144"/>
      <c r="B796" s="144"/>
      <c r="C796" s="144"/>
      <c r="D796" s="144"/>
      <c r="E796" s="144"/>
      <c r="F796" s="144"/>
      <c r="G796" s="144"/>
      <c r="H796" s="144"/>
      <c r="I796" s="144"/>
      <c r="J796" s="144"/>
      <c r="K796" s="144"/>
      <c r="L796" s="144"/>
      <c r="M796" s="144"/>
      <c r="N796" s="144"/>
      <c r="O796" s="144"/>
      <c r="P796" s="144"/>
      <c r="Q796" s="144"/>
      <c r="R796" s="144"/>
      <c r="S796" s="144"/>
      <c r="T796" s="144"/>
      <c r="U796" s="144"/>
      <c r="V796" s="144"/>
      <c r="W796" s="144"/>
      <c r="X796" s="144"/>
      <c r="Y796" s="144"/>
      <c r="Z796" s="144"/>
      <c r="AA796" s="144"/>
      <c r="AB796" s="144"/>
      <c r="AC796" s="144"/>
      <c r="AD796" s="144"/>
      <c r="AE796" s="144"/>
      <c r="AF796" s="144"/>
      <c r="AG796" s="144"/>
      <c r="AH796" s="144"/>
      <c r="AI796" s="144"/>
      <c r="AJ796" s="144"/>
      <c r="AK796" s="144"/>
      <c r="AL796" s="144"/>
      <c r="AM796" s="144"/>
      <c r="AN796" s="144"/>
      <c r="AO796" s="144"/>
      <c r="AP796" s="144"/>
      <c r="AQ796" s="144"/>
      <c r="AR796" s="144"/>
      <c r="AS796" s="144"/>
    </row>
    <row r="797">
      <c r="A797" s="144"/>
      <c r="B797" s="144"/>
      <c r="C797" s="144"/>
      <c r="D797" s="144"/>
      <c r="E797" s="144"/>
      <c r="F797" s="144"/>
      <c r="G797" s="144"/>
      <c r="H797" s="144"/>
      <c r="I797" s="144"/>
      <c r="J797" s="144"/>
      <c r="K797" s="144"/>
      <c r="L797" s="144"/>
      <c r="M797" s="144"/>
      <c r="N797" s="144"/>
      <c r="O797" s="144"/>
      <c r="P797" s="144"/>
      <c r="Q797" s="144"/>
      <c r="R797" s="144"/>
      <c r="S797" s="144"/>
      <c r="T797" s="144"/>
      <c r="U797" s="144"/>
      <c r="V797" s="144"/>
      <c r="W797" s="144"/>
      <c r="X797" s="144"/>
      <c r="Y797" s="144"/>
      <c r="Z797" s="144"/>
      <c r="AA797" s="144"/>
      <c r="AB797" s="144"/>
      <c r="AC797" s="144"/>
      <c r="AD797" s="144"/>
      <c r="AE797" s="144"/>
      <c r="AF797" s="144"/>
      <c r="AG797" s="144"/>
      <c r="AH797" s="144"/>
      <c r="AI797" s="144"/>
      <c r="AJ797" s="144"/>
      <c r="AK797" s="144"/>
      <c r="AL797" s="144"/>
      <c r="AM797" s="144"/>
      <c r="AN797" s="144"/>
      <c r="AO797" s="144"/>
      <c r="AP797" s="144"/>
      <c r="AQ797" s="144"/>
      <c r="AR797" s="144"/>
      <c r="AS797" s="144"/>
    </row>
    <row r="798">
      <c r="A798" s="144"/>
      <c r="B798" s="144"/>
      <c r="C798" s="144"/>
      <c r="D798" s="144"/>
      <c r="E798" s="144"/>
      <c r="F798" s="144"/>
      <c r="G798" s="144"/>
      <c r="H798" s="144"/>
      <c r="I798" s="144"/>
      <c r="J798" s="144"/>
      <c r="K798" s="144"/>
      <c r="L798" s="144"/>
      <c r="M798" s="144"/>
      <c r="N798" s="144"/>
      <c r="O798" s="144"/>
      <c r="P798" s="144"/>
      <c r="Q798" s="144"/>
      <c r="R798" s="144"/>
      <c r="S798" s="144"/>
      <c r="T798" s="144"/>
      <c r="U798" s="144"/>
      <c r="V798" s="144"/>
      <c r="W798" s="144"/>
      <c r="X798" s="144"/>
      <c r="Y798" s="144"/>
      <c r="Z798" s="144"/>
      <c r="AA798" s="144"/>
      <c r="AB798" s="144"/>
      <c r="AC798" s="144"/>
      <c r="AD798" s="144"/>
      <c r="AE798" s="144"/>
      <c r="AF798" s="144"/>
      <c r="AG798" s="144"/>
      <c r="AH798" s="144"/>
      <c r="AI798" s="144"/>
      <c r="AJ798" s="144"/>
      <c r="AK798" s="144"/>
      <c r="AL798" s="144"/>
      <c r="AM798" s="144"/>
      <c r="AN798" s="144"/>
      <c r="AO798" s="144"/>
      <c r="AP798" s="144"/>
      <c r="AQ798" s="144"/>
      <c r="AR798" s="144"/>
      <c r="AS798" s="144"/>
    </row>
    <row r="799">
      <c r="A799" s="144"/>
      <c r="B799" s="144"/>
      <c r="C799" s="144"/>
      <c r="D799" s="144"/>
      <c r="E799" s="144"/>
      <c r="F799" s="144"/>
      <c r="G799" s="144"/>
      <c r="H799" s="144"/>
      <c r="I799" s="144"/>
      <c r="J799" s="144"/>
      <c r="K799" s="144"/>
      <c r="L799" s="144"/>
      <c r="M799" s="144"/>
      <c r="N799" s="144"/>
      <c r="O799" s="144"/>
      <c r="P799" s="144"/>
      <c r="Q799" s="144"/>
      <c r="R799" s="144"/>
      <c r="S799" s="144"/>
      <c r="T799" s="144"/>
      <c r="U799" s="144"/>
      <c r="V799" s="144"/>
      <c r="W799" s="144"/>
      <c r="X799" s="144"/>
      <c r="Y799" s="144"/>
      <c r="Z799" s="144"/>
      <c r="AA799" s="144"/>
      <c r="AB799" s="144"/>
      <c r="AC799" s="144"/>
      <c r="AD799" s="144"/>
      <c r="AE799" s="144"/>
      <c r="AF799" s="144"/>
      <c r="AG799" s="144"/>
      <c r="AH799" s="144"/>
      <c r="AI799" s="144"/>
      <c r="AJ799" s="144"/>
      <c r="AK799" s="144"/>
      <c r="AL799" s="144"/>
      <c r="AM799" s="144"/>
      <c r="AN799" s="144"/>
      <c r="AO799" s="144"/>
      <c r="AP799" s="144"/>
      <c r="AQ799" s="144"/>
      <c r="AR799" s="144"/>
      <c r="AS799" s="144"/>
    </row>
    <row r="800">
      <c r="A800" s="144"/>
      <c r="B800" s="144"/>
      <c r="C800" s="144"/>
      <c r="D800" s="144"/>
      <c r="E800" s="144"/>
      <c r="F800" s="144"/>
      <c r="G800" s="144"/>
      <c r="H800" s="144"/>
      <c r="I800" s="144"/>
      <c r="J800" s="144"/>
      <c r="K800" s="144"/>
      <c r="L800" s="144"/>
      <c r="M800" s="144"/>
      <c r="N800" s="144"/>
      <c r="O800" s="144"/>
      <c r="P800" s="144"/>
      <c r="Q800" s="144"/>
      <c r="R800" s="144"/>
      <c r="S800" s="144"/>
      <c r="T800" s="144"/>
      <c r="U800" s="144"/>
      <c r="V800" s="144"/>
      <c r="W800" s="144"/>
      <c r="X800" s="144"/>
      <c r="Y800" s="144"/>
      <c r="Z800" s="144"/>
      <c r="AA800" s="144"/>
      <c r="AB800" s="144"/>
      <c r="AC800" s="144"/>
      <c r="AD800" s="144"/>
      <c r="AE800" s="144"/>
      <c r="AF800" s="144"/>
      <c r="AG800" s="144"/>
      <c r="AH800" s="144"/>
      <c r="AI800" s="144"/>
      <c r="AJ800" s="144"/>
      <c r="AK800" s="144"/>
      <c r="AL800" s="144"/>
      <c r="AM800" s="144"/>
      <c r="AN800" s="144"/>
      <c r="AO800" s="144"/>
      <c r="AP800" s="144"/>
      <c r="AQ800" s="144"/>
      <c r="AR800" s="144"/>
      <c r="AS800" s="144"/>
    </row>
    <row r="801">
      <c r="A801" s="144"/>
      <c r="B801" s="144"/>
      <c r="C801" s="144"/>
      <c r="D801" s="144"/>
      <c r="E801" s="144"/>
      <c r="F801" s="144"/>
      <c r="G801" s="144"/>
      <c r="H801" s="144"/>
      <c r="I801" s="144"/>
      <c r="J801" s="144"/>
      <c r="K801" s="144"/>
      <c r="L801" s="144"/>
      <c r="M801" s="144"/>
      <c r="N801" s="144"/>
      <c r="O801" s="144"/>
      <c r="P801" s="144"/>
      <c r="Q801" s="144"/>
      <c r="R801" s="144"/>
      <c r="S801" s="144"/>
      <c r="T801" s="144"/>
      <c r="U801" s="144"/>
      <c r="V801" s="144"/>
      <c r="W801" s="144"/>
      <c r="X801" s="144"/>
      <c r="Y801" s="144"/>
      <c r="Z801" s="144"/>
      <c r="AA801" s="144"/>
      <c r="AB801" s="144"/>
      <c r="AC801" s="144"/>
      <c r="AD801" s="144"/>
      <c r="AE801" s="144"/>
      <c r="AF801" s="144"/>
      <c r="AG801" s="144"/>
      <c r="AH801" s="144"/>
      <c r="AI801" s="144"/>
      <c r="AJ801" s="144"/>
      <c r="AK801" s="144"/>
      <c r="AL801" s="144"/>
      <c r="AM801" s="144"/>
      <c r="AN801" s="144"/>
      <c r="AO801" s="144"/>
      <c r="AP801" s="144"/>
      <c r="AQ801" s="144"/>
      <c r="AR801" s="144"/>
      <c r="AS801" s="144"/>
    </row>
    <row r="802">
      <c r="A802" s="144"/>
      <c r="B802" s="144"/>
      <c r="C802" s="144"/>
      <c r="D802" s="144"/>
      <c r="E802" s="144"/>
      <c r="F802" s="144"/>
      <c r="G802" s="144"/>
      <c r="H802" s="144"/>
      <c r="I802" s="144"/>
      <c r="J802" s="144"/>
      <c r="K802" s="144"/>
      <c r="L802" s="144"/>
      <c r="M802" s="144"/>
      <c r="N802" s="144"/>
      <c r="O802" s="144"/>
      <c r="P802" s="144"/>
      <c r="Q802" s="144"/>
      <c r="R802" s="144"/>
      <c r="S802" s="144"/>
      <c r="T802" s="144"/>
      <c r="U802" s="144"/>
      <c r="V802" s="144"/>
      <c r="W802" s="144"/>
      <c r="X802" s="144"/>
      <c r="Y802" s="144"/>
      <c r="Z802" s="144"/>
      <c r="AA802" s="144"/>
      <c r="AB802" s="144"/>
      <c r="AC802" s="144"/>
      <c r="AD802" s="144"/>
      <c r="AE802" s="144"/>
      <c r="AF802" s="144"/>
      <c r="AG802" s="144"/>
      <c r="AH802" s="144"/>
      <c r="AI802" s="144"/>
      <c r="AJ802" s="144"/>
      <c r="AK802" s="144"/>
      <c r="AL802" s="144"/>
      <c r="AM802" s="144"/>
      <c r="AN802" s="144"/>
      <c r="AO802" s="144"/>
      <c r="AP802" s="144"/>
      <c r="AQ802" s="144"/>
      <c r="AR802" s="144"/>
      <c r="AS802" s="144"/>
    </row>
    <row r="803">
      <c r="A803" s="144"/>
      <c r="B803" s="144"/>
      <c r="C803" s="144"/>
      <c r="D803" s="144"/>
      <c r="E803" s="144"/>
      <c r="F803" s="144"/>
      <c r="G803" s="144"/>
      <c r="H803" s="144"/>
      <c r="I803" s="144"/>
      <c r="J803" s="144"/>
      <c r="K803" s="144"/>
      <c r="L803" s="144"/>
      <c r="M803" s="144"/>
      <c r="N803" s="144"/>
      <c r="O803" s="144"/>
      <c r="P803" s="144"/>
      <c r="Q803" s="144"/>
      <c r="R803" s="144"/>
      <c r="S803" s="144"/>
      <c r="T803" s="144"/>
      <c r="U803" s="144"/>
      <c r="V803" s="144"/>
      <c r="W803" s="144"/>
      <c r="X803" s="144"/>
      <c r="Y803" s="144"/>
      <c r="Z803" s="144"/>
      <c r="AA803" s="144"/>
      <c r="AB803" s="144"/>
      <c r="AC803" s="144"/>
      <c r="AD803" s="144"/>
      <c r="AE803" s="144"/>
      <c r="AF803" s="144"/>
      <c r="AG803" s="144"/>
      <c r="AH803" s="144"/>
      <c r="AI803" s="144"/>
      <c r="AJ803" s="144"/>
      <c r="AK803" s="144"/>
      <c r="AL803" s="144"/>
      <c r="AM803" s="144"/>
      <c r="AN803" s="144"/>
      <c r="AO803" s="144"/>
      <c r="AP803" s="144"/>
      <c r="AQ803" s="144"/>
      <c r="AR803" s="144"/>
      <c r="AS803" s="144"/>
    </row>
    <row r="804">
      <c r="A804" s="144"/>
      <c r="B804" s="144"/>
      <c r="C804" s="144"/>
      <c r="D804" s="144"/>
      <c r="E804" s="144"/>
      <c r="F804" s="144"/>
      <c r="G804" s="144"/>
      <c r="H804" s="144"/>
      <c r="I804" s="144"/>
      <c r="J804" s="144"/>
      <c r="K804" s="144"/>
      <c r="L804" s="144"/>
      <c r="M804" s="144"/>
      <c r="N804" s="144"/>
      <c r="O804" s="144"/>
      <c r="P804" s="144"/>
      <c r="Q804" s="144"/>
      <c r="R804" s="144"/>
      <c r="S804" s="144"/>
      <c r="T804" s="144"/>
      <c r="U804" s="144"/>
      <c r="V804" s="144"/>
      <c r="W804" s="144"/>
      <c r="X804" s="144"/>
      <c r="Y804" s="144"/>
      <c r="Z804" s="144"/>
      <c r="AA804" s="144"/>
      <c r="AB804" s="144"/>
      <c r="AC804" s="144"/>
      <c r="AD804" s="144"/>
      <c r="AE804" s="144"/>
      <c r="AF804" s="144"/>
      <c r="AG804" s="144"/>
      <c r="AH804" s="144"/>
      <c r="AI804" s="144"/>
      <c r="AJ804" s="144"/>
      <c r="AK804" s="144"/>
      <c r="AL804" s="144"/>
      <c r="AM804" s="144"/>
      <c r="AN804" s="144"/>
      <c r="AO804" s="144"/>
      <c r="AP804" s="144"/>
      <c r="AQ804" s="144"/>
      <c r="AR804" s="144"/>
      <c r="AS804" s="144"/>
    </row>
    <row r="805">
      <c r="A805" s="144"/>
      <c r="B805" s="144"/>
      <c r="C805" s="144"/>
      <c r="D805" s="144"/>
      <c r="E805" s="144"/>
      <c r="F805" s="144"/>
      <c r="G805" s="144"/>
      <c r="H805" s="144"/>
      <c r="I805" s="144"/>
      <c r="J805" s="144"/>
      <c r="K805" s="144"/>
      <c r="L805" s="144"/>
      <c r="M805" s="144"/>
      <c r="N805" s="144"/>
      <c r="O805" s="144"/>
      <c r="P805" s="144"/>
      <c r="Q805" s="144"/>
      <c r="R805" s="144"/>
      <c r="S805" s="144"/>
      <c r="T805" s="144"/>
      <c r="U805" s="144"/>
      <c r="V805" s="144"/>
      <c r="W805" s="144"/>
      <c r="X805" s="144"/>
      <c r="Y805" s="144"/>
      <c r="Z805" s="144"/>
      <c r="AA805" s="144"/>
      <c r="AB805" s="144"/>
      <c r="AC805" s="144"/>
      <c r="AD805" s="144"/>
      <c r="AE805" s="144"/>
      <c r="AF805" s="144"/>
      <c r="AG805" s="144"/>
      <c r="AH805" s="144"/>
      <c r="AI805" s="144"/>
      <c r="AJ805" s="144"/>
      <c r="AK805" s="144"/>
      <c r="AL805" s="144"/>
      <c r="AM805" s="144"/>
      <c r="AN805" s="144"/>
      <c r="AO805" s="144"/>
      <c r="AP805" s="144"/>
      <c r="AQ805" s="144"/>
      <c r="AR805" s="144"/>
      <c r="AS805" s="144"/>
    </row>
    <row r="806">
      <c r="A806" s="144"/>
      <c r="B806" s="144"/>
      <c r="C806" s="144"/>
      <c r="D806" s="144"/>
      <c r="E806" s="144"/>
      <c r="F806" s="144"/>
      <c r="G806" s="144"/>
      <c r="H806" s="144"/>
      <c r="I806" s="144"/>
      <c r="J806" s="144"/>
      <c r="K806" s="144"/>
      <c r="L806" s="144"/>
      <c r="M806" s="144"/>
      <c r="N806" s="144"/>
      <c r="O806" s="144"/>
      <c r="P806" s="144"/>
      <c r="Q806" s="144"/>
      <c r="R806" s="144"/>
      <c r="S806" s="144"/>
      <c r="T806" s="144"/>
      <c r="U806" s="144"/>
      <c r="V806" s="144"/>
      <c r="W806" s="144"/>
      <c r="X806" s="144"/>
      <c r="Y806" s="144"/>
      <c r="Z806" s="144"/>
      <c r="AA806" s="144"/>
      <c r="AB806" s="144"/>
      <c r="AC806" s="144"/>
      <c r="AD806" s="144"/>
      <c r="AE806" s="144"/>
      <c r="AF806" s="144"/>
      <c r="AG806" s="144"/>
      <c r="AH806" s="144"/>
      <c r="AI806" s="144"/>
      <c r="AJ806" s="144"/>
      <c r="AK806" s="144"/>
      <c r="AL806" s="144"/>
      <c r="AM806" s="144"/>
      <c r="AN806" s="144"/>
      <c r="AO806" s="144"/>
      <c r="AP806" s="144"/>
      <c r="AQ806" s="144"/>
      <c r="AR806" s="144"/>
      <c r="AS806" s="144"/>
    </row>
    <row r="807">
      <c r="A807" s="144"/>
      <c r="B807" s="144"/>
      <c r="C807" s="144"/>
      <c r="D807" s="144"/>
      <c r="E807" s="144"/>
      <c r="F807" s="144"/>
      <c r="G807" s="144"/>
      <c r="H807" s="144"/>
      <c r="I807" s="144"/>
      <c r="J807" s="144"/>
      <c r="K807" s="144"/>
      <c r="L807" s="144"/>
      <c r="M807" s="144"/>
      <c r="N807" s="144"/>
      <c r="O807" s="144"/>
      <c r="P807" s="144"/>
      <c r="Q807" s="144"/>
      <c r="R807" s="144"/>
      <c r="S807" s="144"/>
      <c r="T807" s="144"/>
      <c r="U807" s="144"/>
      <c r="V807" s="144"/>
      <c r="W807" s="144"/>
      <c r="X807" s="144"/>
      <c r="Y807" s="144"/>
      <c r="Z807" s="144"/>
      <c r="AA807" s="144"/>
      <c r="AB807" s="144"/>
      <c r="AC807" s="144"/>
      <c r="AD807" s="144"/>
      <c r="AE807" s="144"/>
      <c r="AF807" s="144"/>
      <c r="AG807" s="144"/>
      <c r="AH807" s="144"/>
      <c r="AI807" s="144"/>
      <c r="AJ807" s="144"/>
      <c r="AK807" s="144"/>
      <c r="AL807" s="144"/>
      <c r="AM807" s="144"/>
      <c r="AN807" s="144"/>
      <c r="AO807" s="144"/>
      <c r="AP807" s="144"/>
      <c r="AQ807" s="144"/>
      <c r="AR807" s="144"/>
      <c r="AS807" s="144"/>
    </row>
    <row r="808">
      <c r="A808" s="144"/>
      <c r="B808" s="144"/>
      <c r="C808" s="144"/>
      <c r="D808" s="144"/>
      <c r="E808" s="144"/>
      <c r="F808" s="144"/>
      <c r="G808" s="144"/>
      <c r="H808" s="144"/>
      <c r="I808" s="144"/>
      <c r="J808" s="144"/>
      <c r="K808" s="144"/>
      <c r="L808" s="144"/>
      <c r="M808" s="144"/>
      <c r="N808" s="144"/>
      <c r="O808" s="144"/>
      <c r="P808" s="144"/>
      <c r="Q808" s="144"/>
      <c r="R808" s="144"/>
      <c r="S808" s="144"/>
      <c r="T808" s="144"/>
      <c r="U808" s="144"/>
      <c r="V808" s="144"/>
      <c r="W808" s="144"/>
      <c r="X808" s="144"/>
      <c r="Y808" s="144"/>
      <c r="Z808" s="144"/>
      <c r="AA808" s="144"/>
      <c r="AB808" s="144"/>
      <c r="AC808" s="144"/>
      <c r="AD808" s="144"/>
      <c r="AE808" s="144"/>
      <c r="AF808" s="144"/>
      <c r="AG808" s="144"/>
      <c r="AH808" s="144"/>
      <c r="AI808" s="144"/>
      <c r="AJ808" s="144"/>
      <c r="AK808" s="144"/>
      <c r="AL808" s="144"/>
      <c r="AM808" s="144"/>
      <c r="AN808" s="144"/>
      <c r="AO808" s="144"/>
      <c r="AP808" s="144"/>
      <c r="AQ808" s="144"/>
      <c r="AR808" s="144"/>
      <c r="AS808" s="144"/>
    </row>
    <row r="809">
      <c r="A809" s="144"/>
      <c r="B809" s="144"/>
      <c r="C809" s="144"/>
      <c r="D809" s="144"/>
      <c r="E809" s="144"/>
      <c r="F809" s="144"/>
      <c r="G809" s="144"/>
      <c r="H809" s="144"/>
      <c r="I809" s="144"/>
      <c r="J809" s="144"/>
      <c r="K809" s="144"/>
      <c r="L809" s="144"/>
      <c r="M809" s="144"/>
      <c r="N809" s="144"/>
      <c r="O809" s="144"/>
      <c r="P809" s="144"/>
      <c r="Q809" s="144"/>
      <c r="R809" s="144"/>
      <c r="S809" s="144"/>
      <c r="T809" s="144"/>
      <c r="U809" s="144"/>
      <c r="V809" s="144"/>
      <c r="W809" s="144"/>
      <c r="X809" s="144"/>
      <c r="Y809" s="144"/>
      <c r="Z809" s="144"/>
      <c r="AA809" s="144"/>
      <c r="AB809" s="144"/>
      <c r="AC809" s="144"/>
      <c r="AD809" s="144"/>
      <c r="AE809" s="144"/>
      <c r="AF809" s="144"/>
      <c r="AG809" s="144"/>
      <c r="AH809" s="144"/>
      <c r="AI809" s="144"/>
      <c r="AJ809" s="144"/>
      <c r="AK809" s="144"/>
      <c r="AL809" s="144"/>
      <c r="AM809" s="144"/>
      <c r="AN809" s="144"/>
      <c r="AO809" s="144"/>
      <c r="AP809" s="144"/>
      <c r="AQ809" s="144"/>
      <c r="AR809" s="144"/>
      <c r="AS809" s="144"/>
    </row>
    <row r="810">
      <c r="A810" s="144"/>
      <c r="B810" s="144"/>
      <c r="C810" s="144"/>
      <c r="D810" s="144"/>
      <c r="E810" s="144"/>
      <c r="F810" s="144"/>
      <c r="G810" s="144"/>
      <c r="H810" s="144"/>
      <c r="I810" s="144"/>
      <c r="J810" s="144"/>
      <c r="K810" s="144"/>
      <c r="L810" s="144"/>
      <c r="M810" s="144"/>
      <c r="N810" s="144"/>
      <c r="O810" s="144"/>
      <c r="P810" s="144"/>
      <c r="Q810" s="144"/>
      <c r="R810" s="144"/>
      <c r="S810" s="144"/>
      <c r="T810" s="144"/>
      <c r="U810" s="144"/>
      <c r="V810" s="144"/>
      <c r="W810" s="144"/>
      <c r="X810" s="144"/>
      <c r="Y810" s="144"/>
      <c r="Z810" s="144"/>
      <c r="AA810" s="144"/>
      <c r="AB810" s="144"/>
      <c r="AC810" s="144"/>
      <c r="AD810" s="144"/>
      <c r="AE810" s="144"/>
      <c r="AF810" s="144"/>
      <c r="AG810" s="144"/>
      <c r="AH810" s="144"/>
      <c r="AI810" s="144"/>
      <c r="AJ810" s="144"/>
      <c r="AK810" s="144"/>
      <c r="AL810" s="144"/>
      <c r="AM810" s="144"/>
      <c r="AN810" s="144"/>
      <c r="AO810" s="144"/>
      <c r="AP810" s="144"/>
      <c r="AQ810" s="144"/>
      <c r="AR810" s="144"/>
      <c r="AS810" s="144"/>
    </row>
    <row r="811">
      <c r="A811" s="144"/>
      <c r="B811" s="144"/>
      <c r="C811" s="144"/>
      <c r="D811" s="144"/>
      <c r="E811" s="144"/>
      <c r="F811" s="144"/>
      <c r="G811" s="144"/>
      <c r="H811" s="144"/>
      <c r="I811" s="144"/>
      <c r="J811" s="144"/>
      <c r="K811" s="144"/>
      <c r="L811" s="144"/>
      <c r="M811" s="144"/>
      <c r="N811" s="144"/>
      <c r="O811" s="144"/>
      <c r="P811" s="144"/>
      <c r="Q811" s="144"/>
      <c r="R811" s="144"/>
      <c r="S811" s="144"/>
      <c r="T811" s="144"/>
      <c r="U811" s="144"/>
      <c r="V811" s="144"/>
      <c r="W811" s="144"/>
      <c r="X811" s="144"/>
      <c r="Y811" s="144"/>
      <c r="Z811" s="144"/>
      <c r="AA811" s="144"/>
      <c r="AB811" s="144"/>
      <c r="AC811" s="144"/>
      <c r="AD811" s="144"/>
      <c r="AE811" s="144"/>
      <c r="AF811" s="144"/>
      <c r="AG811" s="144"/>
      <c r="AH811" s="144"/>
      <c r="AI811" s="144"/>
      <c r="AJ811" s="144"/>
      <c r="AK811" s="144"/>
      <c r="AL811" s="144"/>
      <c r="AM811" s="144"/>
      <c r="AN811" s="144"/>
      <c r="AO811" s="144"/>
      <c r="AP811" s="144"/>
      <c r="AQ811" s="144"/>
      <c r="AR811" s="144"/>
      <c r="AS811" s="144"/>
    </row>
    <row r="812">
      <c r="A812" s="144"/>
      <c r="B812" s="144"/>
      <c r="C812" s="144"/>
      <c r="D812" s="144"/>
      <c r="E812" s="144"/>
      <c r="F812" s="144"/>
      <c r="G812" s="144"/>
      <c r="H812" s="144"/>
      <c r="I812" s="144"/>
      <c r="J812" s="144"/>
      <c r="K812" s="144"/>
      <c r="L812" s="144"/>
      <c r="M812" s="144"/>
      <c r="N812" s="144"/>
      <c r="O812" s="144"/>
      <c r="P812" s="144"/>
      <c r="Q812" s="144"/>
      <c r="R812" s="144"/>
      <c r="S812" s="144"/>
      <c r="T812" s="144"/>
      <c r="U812" s="144"/>
      <c r="V812" s="144"/>
      <c r="W812" s="144"/>
      <c r="X812" s="144"/>
      <c r="Y812" s="144"/>
      <c r="Z812" s="144"/>
      <c r="AA812" s="144"/>
      <c r="AB812" s="144"/>
      <c r="AC812" s="144"/>
      <c r="AD812" s="144"/>
      <c r="AE812" s="144"/>
      <c r="AF812" s="144"/>
      <c r="AG812" s="144"/>
      <c r="AH812" s="144"/>
      <c r="AI812" s="144"/>
      <c r="AJ812" s="144"/>
      <c r="AK812" s="144"/>
      <c r="AL812" s="144"/>
      <c r="AM812" s="144"/>
      <c r="AN812" s="144"/>
      <c r="AO812" s="144"/>
      <c r="AP812" s="144"/>
      <c r="AQ812" s="144"/>
      <c r="AR812" s="144"/>
      <c r="AS812" s="144"/>
    </row>
    <row r="813">
      <c r="A813" s="144"/>
      <c r="B813" s="144"/>
      <c r="C813" s="144"/>
      <c r="D813" s="144"/>
      <c r="E813" s="144"/>
      <c r="F813" s="144"/>
      <c r="G813" s="144"/>
      <c r="H813" s="144"/>
      <c r="I813" s="144"/>
      <c r="J813" s="144"/>
      <c r="K813" s="144"/>
      <c r="L813" s="144"/>
      <c r="M813" s="144"/>
      <c r="N813" s="144"/>
      <c r="O813" s="144"/>
      <c r="P813" s="144"/>
      <c r="Q813" s="144"/>
      <c r="R813" s="144"/>
      <c r="S813" s="144"/>
      <c r="T813" s="144"/>
      <c r="U813" s="144"/>
      <c r="V813" s="144"/>
      <c r="W813" s="144"/>
      <c r="X813" s="144"/>
      <c r="Y813" s="144"/>
      <c r="Z813" s="144"/>
      <c r="AA813" s="144"/>
      <c r="AB813" s="144"/>
      <c r="AC813" s="144"/>
      <c r="AD813" s="144"/>
      <c r="AE813" s="144"/>
      <c r="AF813" s="144"/>
      <c r="AG813" s="144"/>
      <c r="AH813" s="144"/>
      <c r="AI813" s="144"/>
      <c r="AJ813" s="144"/>
      <c r="AK813" s="144"/>
      <c r="AL813" s="144"/>
      <c r="AM813" s="144"/>
      <c r="AN813" s="144"/>
      <c r="AO813" s="144"/>
      <c r="AP813" s="144"/>
      <c r="AQ813" s="144"/>
      <c r="AR813" s="144"/>
      <c r="AS813" s="144"/>
    </row>
    <row r="814">
      <c r="A814" s="144"/>
      <c r="B814" s="144"/>
      <c r="C814" s="144"/>
      <c r="D814" s="144"/>
      <c r="E814" s="144"/>
      <c r="F814" s="144"/>
      <c r="G814" s="144"/>
      <c r="H814" s="144"/>
      <c r="I814" s="144"/>
      <c r="J814" s="144"/>
      <c r="K814" s="144"/>
      <c r="L814" s="144"/>
      <c r="M814" s="144"/>
      <c r="N814" s="144"/>
      <c r="O814" s="144"/>
      <c r="P814" s="144"/>
      <c r="Q814" s="144"/>
      <c r="R814" s="144"/>
      <c r="S814" s="144"/>
      <c r="T814" s="144"/>
      <c r="U814" s="144"/>
      <c r="V814" s="144"/>
      <c r="W814" s="144"/>
      <c r="X814" s="144"/>
      <c r="Y814" s="144"/>
      <c r="Z814" s="144"/>
      <c r="AA814" s="144"/>
      <c r="AB814" s="144"/>
      <c r="AC814" s="144"/>
      <c r="AD814" s="144"/>
      <c r="AE814" s="144"/>
      <c r="AF814" s="144"/>
      <c r="AG814" s="144"/>
      <c r="AH814" s="144"/>
      <c r="AI814" s="144"/>
      <c r="AJ814" s="144"/>
      <c r="AK814" s="144"/>
      <c r="AL814" s="144"/>
      <c r="AM814" s="144"/>
      <c r="AN814" s="144"/>
      <c r="AO814" s="144"/>
      <c r="AP814" s="144"/>
      <c r="AQ814" s="144"/>
      <c r="AR814" s="144"/>
      <c r="AS814" s="144"/>
    </row>
    <row r="815">
      <c r="A815" s="144"/>
      <c r="B815" s="144"/>
      <c r="C815" s="144"/>
      <c r="D815" s="144"/>
      <c r="E815" s="144"/>
      <c r="F815" s="144"/>
      <c r="G815" s="144"/>
      <c r="H815" s="144"/>
      <c r="I815" s="144"/>
      <c r="J815" s="144"/>
      <c r="K815" s="144"/>
      <c r="L815" s="144"/>
      <c r="M815" s="144"/>
      <c r="N815" s="144"/>
      <c r="O815" s="144"/>
      <c r="P815" s="144"/>
      <c r="Q815" s="144"/>
      <c r="R815" s="144"/>
      <c r="S815" s="144"/>
      <c r="T815" s="144"/>
      <c r="U815" s="144"/>
      <c r="V815" s="144"/>
      <c r="W815" s="144"/>
      <c r="X815" s="144"/>
      <c r="Y815" s="144"/>
      <c r="Z815" s="144"/>
      <c r="AA815" s="144"/>
      <c r="AB815" s="144"/>
      <c r="AC815" s="144"/>
      <c r="AD815" s="144"/>
      <c r="AE815" s="144"/>
      <c r="AF815" s="144"/>
      <c r="AG815" s="144"/>
      <c r="AH815" s="144"/>
      <c r="AI815" s="144"/>
      <c r="AJ815" s="144"/>
      <c r="AK815" s="144"/>
      <c r="AL815" s="144"/>
      <c r="AM815" s="144"/>
      <c r="AN815" s="144"/>
      <c r="AO815" s="144"/>
      <c r="AP815" s="144"/>
      <c r="AQ815" s="144"/>
      <c r="AR815" s="144"/>
      <c r="AS815" s="144"/>
    </row>
    <row r="816">
      <c r="A816" s="144"/>
      <c r="B816" s="144"/>
      <c r="C816" s="144"/>
      <c r="D816" s="144"/>
      <c r="E816" s="144"/>
      <c r="F816" s="144"/>
      <c r="G816" s="144"/>
      <c r="H816" s="144"/>
      <c r="I816" s="144"/>
      <c r="J816" s="144"/>
      <c r="K816" s="144"/>
      <c r="L816" s="144"/>
      <c r="M816" s="144"/>
      <c r="N816" s="144"/>
      <c r="O816" s="144"/>
      <c r="P816" s="144"/>
      <c r="Q816" s="144"/>
      <c r="R816" s="144"/>
      <c r="S816" s="144"/>
      <c r="T816" s="144"/>
      <c r="U816" s="144"/>
      <c r="V816" s="144"/>
      <c r="W816" s="144"/>
      <c r="X816" s="144"/>
      <c r="Y816" s="144"/>
      <c r="Z816" s="144"/>
      <c r="AA816" s="144"/>
      <c r="AB816" s="144"/>
      <c r="AC816" s="144"/>
      <c r="AD816" s="144"/>
      <c r="AE816" s="144"/>
      <c r="AF816" s="144"/>
      <c r="AG816" s="144"/>
      <c r="AH816" s="144"/>
      <c r="AI816" s="144"/>
      <c r="AJ816" s="144"/>
      <c r="AK816" s="144"/>
      <c r="AL816" s="144"/>
      <c r="AM816" s="144"/>
      <c r="AN816" s="144"/>
      <c r="AO816" s="144"/>
      <c r="AP816" s="144"/>
      <c r="AQ816" s="144"/>
      <c r="AR816" s="144"/>
      <c r="AS816" s="144"/>
    </row>
    <row r="817">
      <c r="A817" s="144"/>
      <c r="B817" s="144"/>
      <c r="C817" s="144"/>
      <c r="D817" s="144"/>
      <c r="E817" s="144"/>
      <c r="F817" s="144"/>
      <c r="G817" s="144"/>
      <c r="H817" s="144"/>
      <c r="I817" s="144"/>
      <c r="J817" s="144"/>
      <c r="K817" s="144"/>
      <c r="L817" s="144"/>
      <c r="M817" s="144"/>
      <c r="N817" s="144"/>
      <c r="O817" s="144"/>
      <c r="P817" s="144"/>
      <c r="Q817" s="144"/>
      <c r="R817" s="144"/>
      <c r="S817" s="144"/>
      <c r="T817" s="144"/>
      <c r="U817" s="144"/>
      <c r="V817" s="144"/>
      <c r="W817" s="144"/>
      <c r="X817" s="144"/>
      <c r="Y817" s="144"/>
      <c r="Z817" s="144"/>
      <c r="AA817" s="144"/>
      <c r="AB817" s="144"/>
      <c r="AC817" s="144"/>
      <c r="AD817" s="144"/>
      <c r="AE817" s="144"/>
      <c r="AF817" s="144"/>
      <c r="AG817" s="144"/>
      <c r="AH817" s="144"/>
      <c r="AI817" s="144"/>
      <c r="AJ817" s="144"/>
      <c r="AK817" s="144"/>
      <c r="AL817" s="144"/>
      <c r="AM817" s="144"/>
      <c r="AN817" s="144"/>
      <c r="AO817" s="144"/>
      <c r="AP817" s="144"/>
      <c r="AQ817" s="144"/>
      <c r="AR817" s="144"/>
      <c r="AS817" s="144"/>
    </row>
    <row r="818">
      <c r="A818" s="144"/>
      <c r="B818" s="144"/>
      <c r="C818" s="144"/>
      <c r="D818" s="144"/>
      <c r="E818" s="144"/>
      <c r="F818" s="144"/>
      <c r="G818" s="144"/>
      <c r="H818" s="144"/>
      <c r="I818" s="144"/>
      <c r="J818" s="144"/>
      <c r="K818" s="144"/>
      <c r="L818" s="144"/>
      <c r="M818" s="144"/>
      <c r="N818" s="144"/>
      <c r="O818" s="144"/>
      <c r="P818" s="144"/>
      <c r="Q818" s="144"/>
      <c r="R818" s="144"/>
      <c r="S818" s="144"/>
      <c r="T818" s="144"/>
      <c r="U818" s="144"/>
      <c r="V818" s="144"/>
      <c r="W818" s="144"/>
      <c r="X818" s="144"/>
      <c r="Y818" s="144"/>
      <c r="Z818" s="144"/>
      <c r="AA818" s="144"/>
      <c r="AB818" s="144"/>
      <c r="AC818" s="144"/>
      <c r="AD818" s="144"/>
      <c r="AE818" s="144"/>
      <c r="AF818" s="144"/>
      <c r="AG818" s="144"/>
      <c r="AH818" s="144"/>
      <c r="AI818" s="144"/>
      <c r="AJ818" s="144"/>
      <c r="AK818" s="144"/>
      <c r="AL818" s="144"/>
      <c r="AM818" s="144"/>
      <c r="AN818" s="144"/>
      <c r="AO818" s="144"/>
      <c r="AP818" s="144"/>
      <c r="AQ818" s="144"/>
      <c r="AR818" s="144"/>
      <c r="AS818" s="144"/>
    </row>
    <row r="819">
      <c r="A819" s="144"/>
      <c r="B819" s="144"/>
      <c r="C819" s="144"/>
      <c r="D819" s="144"/>
      <c r="E819" s="144"/>
      <c r="F819" s="144"/>
      <c r="G819" s="144"/>
      <c r="H819" s="144"/>
      <c r="I819" s="144"/>
      <c r="J819" s="144"/>
      <c r="K819" s="144"/>
      <c r="L819" s="144"/>
      <c r="M819" s="144"/>
      <c r="N819" s="144"/>
      <c r="O819" s="144"/>
      <c r="P819" s="144"/>
      <c r="Q819" s="144"/>
      <c r="R819" s="144"/>
      <c r="S819" s="144"/>
      <c r="T819" s="144"/>
      <c r="U819" s="144"/>
      <c r="V819" s="144"/>
      <c r="W819" s="144"/>
      <c r="X819" s="144"/>
      <c r="Y819" s="144"/>
      <c r="Z819" s="144"/>
      <c r="AA819" s="144"/>
      <c r="AB819" s="144"/>
      <c r="AC819" s="144"/>
      <c r="AD819" s="144"/>
      <c r="AE819" s="144"/>
      <c r="AF819" s="144"/>
      <c r="AG819" s="144"/>
      <c r="AH819" s="144"/>
      <c r="AI819" s="144"/>
      <c r="AJ819" s="144"/>
      <c r="AK819" s="144"/>
      <c r="AL819" s="144"/>
      <c r="AM819" s="144"/>
      <c r="AN819" s="144"/>
      <c r="AO819" s="144"/>
      <c r="AP819" s="144"/>
      <c r="AQ819" s="144"/>
      <c r="AR819" s="144"/>
      <c r="AS819" s="144"/>
    </row>
    <row r="820">
      <c r="A820" s="144"/>
      <c r="B820" s="144"/>
      <c r="C820" s="144"/>
      <c r="D820" s="144"/>
      <c r="E820" s="144"/>
      <c r="F820" s="144"/>
      <c r="G820" s="144"/>
      <c r="H820" s="144"/>
      <c r="I820" s="144"/>
      <c r="J820" s="144"/>
      <c r="K820" s="144"/>
      <c r="L820" s="144"/>
      <c r="M820" s="144"/>
      <c r="N820" s="144"/>
      <c r="O820" s="144"/>
      <c r="P820" s="144"/>
      <c r="Q820" s="144"/>
      <c r="R820" s="144"/>
      <c r="S820" s="144"/>
      <c r="T820" s="144"/>
      <c r="U820" s="144"/>
      <c r="V820" s="144"/>
      <c r="W820" s="144"/>
      <c r="X820" s="144"/>
      <c r="Y820" s="144"/>
      <c r="Z820" s="144"/>
      <c r="AA820" s="144"/>
      <c r="AB820" s="144"/>
      <c r="AC820" s="144"/>
      <c r="AD820" s="144"/>
      <c r="AE820" s="144"/>
      <c r="AF820" s="144"/>
      <c r="AG820" s="144"/>
      <c r="AH820" s="144"/>
      <c r="AI820" s="144"/>
      <c r="AJ820" s="144"/>
      <c r="AK820" s="144"/>
      <c r="AL820" s="144"/>
      <c r="AM820" s="144"/>
      <c r="AN820" s="144"/>
      <c r="AO820" s="144"/>
      <c r="AP820" s="144"/>
      <c r="AQ820" s="144"/>
      <c r="AR820" s="144"/>
      <c r="AS820" s="144"/>
    </row>
    <row r="821">
      <c r="A821" s="144"/>
      <c r="B821" s="144"/>
      <c r="C821" s="144"/>
      <c r="D821" s="144"/>
      <c r="E821" s="144"/>
      <c r="F821" s="144"/>
      <c r="G821" s="144"/>
      <c r="H821" s="144"/>
      <c r="I821" s="144"/>
      <c r="J821" s="144"/>
      <c r="K821" s="144"/>
      <c r="L821" s="144"/>
      <c r="M821" s="144"/>
      <c r="N821" s="144"/>
      <c r="O821" s="144"/>
      <c r="P821" s="144"/>
      <c r="Q821" s="144"/>
      <c r="R821" s="144"/>
      <c r="S821" s="144"/>
      <c r="T821" s="144"/>
      <c r="U821" s="144"/>
      <c r="V821" s="144"/>
      <c r="W821" s="144"/>
      <c r="X821" s="144"/>
      <c r="Y821" s="144"/>
      <c r="Z821" s="144"/>
      <c r="AA821" s="144"/>
      <c r="AB821" s="144"/>
      <c r="AC821" s="144"/>
      <c r="AD821" s="144"/>
      <c r="AE821" s="144"/>
      <c r="AF821" s="144"/>
      <c r="AG821" s="144"/>
      <c r="AH821" s="144"/>
      <c r="AI821" s="144"/>
      <c r="AJ821" s="144"/>
      <c r="AK821" s="144"/>
      <c r="AL821" s="144"/>
      <c r="AM821" s="144"/>
      <c r="AN821" s="144"/>
      <c r="AO821" s="144"/>
      <c r="AP821" s="144"/>
      <c r="AQ821" s="144"/>
      <c r="AR821" s="144"/>
      <c r="AS821" s="144"/>
    </row>
    <row r="822">
      <c r="A822" s="144"/>
      <c r="B822" s="144"/>
      <c r="C822" s="144"/>
      <c r="D822" s="144"/>
      <c r="E822" s="144"/>
      <c r="F822" s="144"/>
      <c r="G822" s="144"/>
      <c r="H822" s="144"/>
      <c r="I822" s="144"/>
      <c r="J822" s="144"/>
      <c r="K822" s="144"/>
      <c r="L822" s="144"/>
      <c r="M822" s="144"/>
      <c r="N822" s="144"/>
      <c r="O822" s="144"/>
      <c r="P822" s="144"/>
      <c r="Q822" s="144"/>
      <c r="R822" s="144"/>
      <c r="S822" s="144"/>
      <c r="T822" s="144"/>
      <c r="U822" s="144"/>
      <c r="V822" s="144"/>
      <c r="W822" s="144"/>
      <c r="X822" s="144"/>
      <c r="Y822" s="144"/>
      <c r="Z822" s="144"/>
      <c r="AA822" s="144"/>
      <c r="AB822" s="144"/>
      <c r="AC822" s="144"/>
      <c r="AD822" s="144"/>
      <c r="AE822" s="144"/>
      <c r="AF822" s="144"/>
      <c r="AG822" s="144"/>
      <c r="AH822" s="144"/>
      <c r="AI822" s="144"/>
      <c r="AJ822" s="144"/>
      <c r="AK822" s="144"/>
      <c r="AL822" s="144"/>
      <c r="AM822" s="144"/>
      <c r="AN822" s="144"/>
      <c r="AO822" s="144"/>
      <c r="AP822" s="144"/>
      <c r="AQ822" s="144"/>
      <c r="AR822" s="144"/>
      <c r="AS822" s="144"/>
    </row>
    <row r="823">
      <c r="A823" s="144"/>
      <c r="B823" s="144"/>
      <c r="C823" s="144"/>
      <c r="D823" s="144"/>
      <c r="E823" s="144"/>
      <c r="F823" s="144"/>
      <c r="G823" s="144"/>
      <c r="H823" s="144"/>
      <c r="I823" s="144"/>
      <c r="J823" s="144"/>
      <c r="K823" s="144"/>
      <c r="L823" s="144"/>
      <c r="M823" s="144"/>
      <c r="N823" s="144"/>
      <c r="O823" s="144"/>
      <c r="P823" s="144"/>
      <c r="Q823" s="144"/>
      <c r="R823" s="144"/>
      <c r="S823" s="144"/>
      <c r="T823" s="144"/>
      <c r="U823" s="144"/>
      <c r="V823" s="144"/>
      <c r="W823" s="144"/>
      <c r="X823" s="144"/>
      <c r="Y823" s="144"/>
      <c r="Z823" s="144"/>
      <c r="AA823" s="144"/>
      <c r="AB823" s="144"/>
      <c r="AC823" s="144"/>
      <c r="AD823" s="144"/>
      <c r="AE823" s="144"/>
      <c r="AF823" s="144"/>
      <c r="AG823" s="144"/>
      <c r="AH823" s="144"/>
      <c r="AI823" s="144"/>
      <c r="AJ823" s="144"/>
      <c r="AK823" s="144"/>
      <c r="AL823" s="144"/>
      <c r="AM823" s="144"/>
      <c r="AN823" s="144"/>
      <c r="AO823" s="144"/>
      <c r="AP823" s="144"/>
      <c r="AQ823" s="144"/>
      <c r="AR823" s="144"/>
      <c r="AS823" s="144"/>
    </row>
    <row r="824">
      <c r="A824" s="144"/>
      <c r="B824" s="144"/>
      <c r="C824" s="144"/>
      <c r="D824" s="144"/>
      <c r="E824" s="144"/>
      <c r="F824" s="144"/>
      <c r="G824" s="144"/>
      <c r="H824" s="144"/>
      <c r="I824" s="144"/>
      <c r="J824" s="144"/>
      <c r="K824" s="144"/>
      <c r="L824" s="144"/>
      <c r="M824" s="144"/>
      <c r="N824" s="144"/>
      <c r="O824" s="144"/>
      <c r="P824" s="144"/>
      <c r="Q824" s="144"/>
      <c r="R824" s="144"/>
      <c r="S824" s="144"/>
      <c r="T824" s="144"/>
      <c r="U824" s="144"/>
      <c r="V824" s="144"/>
      <c r="W824" s="144"/>
      <c r="X824" s="144"/>
      <c r="Y824" s="144"/>
      <c r="Z824" s="144"/>
      <c r="AA824" s="144"/>
      <c r="AB824" s="144"/>
      <c r="AC824" s="144"/>
      <c r="AD824" s="144"/>
      <c r="AE824" s="144"/>
      <c r="AF824" s="144"/>
      <c r="AG824" s="144"/>
      <c r="AH824" s="144"/>
      <c r="AI824" s="144"/>
      <c r="AJ824" s="144"/>
      <c r="AK824" s="144"/>
      <c r="AL824" s="144"/>
      <c r="AM824" s="144"/>
      <c r="AN824" s="144"/>
      <c r="AO824" s="144"/>
      <c r="AP824" s="144"/>
      <c r="AQ824" s="144"/>
      <c r="AR824" s="144"/>
      <c r="AS824" s="144"/>
    </row>
    <row r="825">
      <c r="A825" s="144"/>
      <c r="B825" s="144"/>
      <c r="C825" s="144"/>
      <c r="D825" s="144"/>
      <c r="E825" s="144"/>
      <c r="F825" s="144"/>
      <c r="G825" s="144"/>
      <c r="H825" s="144"/>
      <c r="I825" s="144"/>
      <c r="J825" s="144"/>
      <c r="K825" s="144"/>
      <c r="L825" s="144"/>
      <c r="M825" s="144"/>
      <c r="N825" s="144"/>
      <c r="O825" s="144"/>
      <c r="P825" s="144"/>
      <c r="Q825" s="144"/>
      <c r="R825" s="144"/>
      <c r="S825" s="144"/>
      <c r="T825" s="144"/>
      <c r="U825" s="144"/>
      <c r="V825" s="144"/>
      <c r="W825" s="144"/>
      <c r="X825" s="144"/>
      <c r="Y825" s="144"/>
      <c r="Z825" s="144"/>
      <c r="AA825" s="144"/>
      <c r="AB825" s="144"/>
      <c r="AC825" s="144"/>
      <c r="AD825" s="144"/>
      <c r="AE825" s="144"/>
      <c r="AF825" s="144"/>
      <c r="AG825" s="144"/>
      <c r="AH825" s="144"/>
      <c r="AI825" s="144"/>
      <c r="AJ825" s="144"/>
      <c r="AK825" s="144"/>
      <c r="AL825" s="144"/>
      <c r="AM825" s="144"/>
      <c r="AN825" s="144"/>
      <c r="AO825" s="144"/>
      <c r="AP825" s="144"/>
      <c r="AQ825" s="144"/>
      <c r="AR825" s="144"/>
      <c r="AS825" s="144"/>
    </row>
    <row r="826">
      <c r="A826" s="144"/>
      <c r="B826" s="144"/>
      <c r="C826" s="144"/>
      <c r="D826" s="144"/>
      <c r="E826" s="144"/>
      <c r="F826" s="144"/>
      <c r="G826" s="144"/>
      <c r="H826" s="144"/>
      <c r="I826" s="144"/>
      <c r="J826" s="144"/>
      <c r="K826" s="144"/>
      <c r="L826" s="144"/>
      <c r="M826" s="144"/>
      <c r="N826" s="144"/>
      <c r="O826" s="144"/>
      <c r="P826" s="144"/>
      <c r="Q826" s="144"/>
      <c r="R826" s="144"/>
      <c r="S826" s="144"/>
      <c r="T826" s="144"/>
      <c r="U826" s="144"/>
      <c r="V826" s="144"/>
      <c r="W826" s="144"/>
      <c r="X826" s="144"/>
      <c r="Y826" s="144"/>
      <c r="Z826" s="144"/>
      <c r="AA826" s="144"/>
      <c r="AB826" s="144"/>
      <c r="AC826" s="144"/>
      <c r="AD826" s="144"/>
      <c r="AE826" s="144"/>
      <c r="AF826" s="144"/>
      <c r="AG826" s="144"/>
      <c r="AH826" s="144"/>
      <c r="AI826" s="144"/>
      <c r="AJ826" s="144"/>
      <c r="AK826" s="144"/>
      <c r="AL826" s="144"/>
      <c r="AM826" s="144"/>
      <c r="AN826" s="144"/>
      <c r="AO826" s="144"/>
      <c r="AP826" s="144"/>
      <c r="AQ826" s="144"/>
      <c r="AR826" s="144"/>
      <c r="AS826" s="144"/>
    </row>
    <row r="827">
      <c r="A827" s="144"/>
      <c r="B827" s="144"/>
      <c r="C827" s="144"/>
      <c r="D827" s="144"/>
      <c r="E827" s="144"/>
      <c r="F827" s="144"/>
      <c r="G827" s="144"/>
      <c r="H827" s="144"/>
      <c r="I827" s="144"/>
      <c r="J827" s="144"/>
      <c r="K827" s="144"/>
      <c r="L827" s="144"/>
      <c r="M827" s="144"/>
      <c r="N827" s="144"/>
      <c r="O827" s="144"/>
      <c r="P827" s="144"/>
      <c r="Q827" s="144"/>
      <c r="R827" s="144"/>
      <c r="S827" s="144"/>
      <c r="T827" s="144"/>
      <c r="U827" s="144"/>
      <c r="V827" s="144"/>
      <c r="W827" s="144"/>
      <c r="X827" s="144"/>
      <c r="Y827" s="144"/>
      <c r="Z827" s="144"/>
      <c r="AA827" s="144"/>
      <c r="AB827" s="144"/>
      <c r="AC827" s="144"/>
      <c r="AD827" s="144"/>
      <c r="AE827" s="144"/>
      <c r="AF827" s="144"/>
      <c r="AG827" s="144"/>
      <c r="AH827" s="144"/>
      <c r="AI827" s="144"/>
      <c r="AJ827" s="144"/>
      <c r="AK827" s="144"/>
      <c r="AL827" s="144"/>
      <c r="AM827" s="144"/>
      <c r="AN827" s="144"/>
      <c r="AO827" s="144"/>
      <c r="AP827" s="144"/>
      <c r="AQ827" s="144"/>
      <c r="AR827" s="144"/>
      <c r="AS827" s="144"/>
    </row>
    <row r="828">
      <c r="A828" s="144"/>
      <c r="B828" s="144"/>
      <c r="C828" s="144"/>
      <c r="D828" s="144"/>
      <c r="E828" s="144"/>
      <c r="F828" s="144"/>
      <c r="G828" s="144"/>
      <c r="H828" s="144"/>
      <c r="I828" s="144"/>
      <c r="J828" s="144"/>
      <c r="K828" s="144"/>
      <c r="L828" s="144"/>
      <c r="M828" s="144"/>
      <c r="N828" s="144"/>
      <c r="O828" s="144"/>
      <c r="P828" s="144"/>
      <c r="Q828" s="144"/>
      <c r="R828" s="144"/>
      <c r="S828" s="144"/>
      <c r="T828" s="144"/>
      <c r="U828" s="144"/>
      <c r="V828" s="144"/>
      <c r="W828" s="144"/>
      <c r="X828" s="144"/>
      <c r="Y828" s="144"/>
      <c r="Z828" s="144"/>
      <c r="AA828" s="144"/>
      <c r="AB828" s="144"/>
      <c r="AC828" s="144"/>
      <c r="AD828" s="144"/>
      <c r="AE828" s="144"/>
      <c r="AF828" s="144"/>
      <c r="AG828" s="144"/>
      <c r="AH828" s="144"/>
      <c r="AI828" s="144"/>
      <c r="AJ828" s="144"/>
      <c r="AK828" s="144"/>
      <c r="AL828" s="144"/>
      <c r="AM828" s="144"/>
      <c r="AN828" s="144"/>
      <c r="AO828" s="144"/>
      <c r="AP828" s="144"/>
      <c r="AQ828" s="144"/>
      <c r="AR828" s="144"/>
      <c r="AS828" s="144"/>
    </row>
    <row r="829">
      <c r="A829" s="144"/>
      <c r="B829" s="144"/>
      <c r="C829" s="144"/>
      <c r="D829" s="144"/>
      <c r="E829" s="144"/>
      <c r="F829" s="144"/>
      <c r="G829" s="144"/>
      <c r="H829" s="144"/>
      <c r="I829" s="144"/>
      <c r="J829" s="144"/>
      <c r="K829" s="144"/>
      <c r="L829" s="144"/>
      <c r="M829" s="144"/>
      <c r="N829" s="144"/>
      <c r="O829" s="144"/>
      <c r="P829" s="144"/>
      <c r="Q829" s="144"/>
      <c r="R829" s="144"/>
      <c r="S829" s="144"/>
      <c r="T829" s="144"/>
      <c r="U829" s="144"/>
      <c r="V829" s="144"/>
      <c r="W829" s="144"/>
      <c r="X829" s="144"/>
      <c r="Y829" s="144"/>
      <c r="Z829" s="144"/>
      <c r="AA829" s="144"/>
      <c r="AB829" s="144"/>
      <c r="AC829" s="144"/>
      <c r="AD829" s="144"/>
      <c r="AE829" s="144"/>
      <c r="AF829" s="144"/>
      <c r="AG829" s="144"/>
      <c r="AH829" s="144"/>
      <c r="AI829" s="144"/>
      <c r="AJ829" s="144"/>
      <c r="AK829" s="144"/>
      <c r="AL829" s="144"/>
      <c r="AM829" s="144"/>
      <c r="AN829" s="144"/>
      <c r="AO829" s="144"/>
      <c r="AP829" s="144"/>
      <c r="AQ829" s="144"/>
      <c r="AR829" s="144"/>
      <c r="AS829" s="144"/>
    </row>
    <row r="830">
      <c r="A830" s="144"/>
      <c r="B830" s="144"/>
      <c r="C830" s="144"/>
      <c r="D830" s="144"/>
      <c r="E830" s="144"/>
      <c r="F830" s="144"/>
      <c r="G830" s="144"/>
      <c r="H830" s="144"/>
      <c r="I830" s="144"/>
      <c r="J830" s="144"/>
      <c r="K830" s="144"/>
      <c r="L830" s="144"/>
      <c r="M830" s="144"/>
      <c r="N830" s="144"/>
      <c r="O830" s="144"/>
      <c r="P830" s="144"/>
      <c r="Q830" s="144"/>
      <c r="R830" s="144"/>
      <c r="S830" s="144"/>
      <c r="T830" s="144"/>
      <c r="U830" s="144"/>
      <c r="V830" s="144"/>
      <c r="W830" s="144"/>
      <c r="X830" s="144"/>
      <c r="Y830" s="144"/>
      <c r="Z830" s="144"/>
      <c r="AA830" s="144"/>
      <c r="AB830" s="144"/>
      <c r="AC830" s="144"/>
      <c r="AD830" s="144"/>
      <c r="AE830" s="144"/>
      <c r="AF830" s="144"/>
      <c r="AG830" s="144"/>
      <c r="AH830" s="144"/>
      <c r="AI830" s="144"/>
      <c r="AJ830" s="144"/>
      <c r="AK830" s="144"/>
      <c r="AL830" s="144"/>
      <c r="AM830" s="144"/>
      <c r="AN830" s="144"/>
      <c r="AO830" s="144"/>
      <c r="AP830" s="144"/>
      <c r="AQ830" s="144"/>
      <c r="AR830" s="144"/>
      <c r="AS830" s="144"/>
    </row>
    <row r="831">
      <c r="A831" s="144"/>
      <c r="B831" s="144"/>
      <c r="C831" s="144"/>
      <c r="D831" s="144"/>
      <c r="E831" s="144"/>
      <c r="F831" s="144"/>
      <c r="G831" s="144"/>
      <c r="H831" s="144"/>
      <c r="I831" s="144"/>
      <c r="J831" s="144"/>
      <c r="K831" s="144"/>
      <c r="L831" s="144"/>
      <c r="M831" s="144"/>
      <c r="N831" s="144"/>
      <c r="O831" s="144"/>
      <c r="P831" s="144"/>
      <c r="Q831" s="144"/>
      <c r="R831" s="144"/>
      <c r="S831" s="144"/>
      <c r="T831" s="144"/>
      <c r="U831" s="144"/>
      <c r="V831" s="144"/>
      <c r="W831" s="144"/>
      <c r="X831" s="144"/>
      <c r="Y831" s="144"/>
      <c r="Z831" s="144"/>
      <c r="AA831" s="144"/>
      <c r="AB831" s="144"/>
      <c r="AC831" s="144"/>
      <c r="AD831" s="144"/>
      <c r="AE831" s="144"/>
      <c r="AF831" s="144"/>
      <c r="AG831" s="144"/>
      <c r="AH831" s="144"/>
      <c r="AI831" s="144"/>
      <c r="AJ831" s="144"/>
      <c r="AK831" s="144"/>
      <c r="AL831" s="144"/>
      <c r="AM831" s="144"/>
      <c r="AN831" s="144"/>
      <c r="AO831" s="144"/>
      <c r="AP831" s="144"/>
      <c r="AQ831" s="144"/>
      <c r="AR831" s="144"/>
      <c r="AS831" s="144"/>
    </row>
    <row r="832">
      <c r="A832" s="144"/>
      <c r="B832" s="144"/>
      <c r="C832" s="144"/>
      <c r="D832" s="144"/>
      <c r="E832" s="144"/>
      <c r="F832" s="144"/>
      <c r="G832" s="144"/>
      <c r="H832" s="144"/>
      <c r="I832" s="144"/>
      <c r="J832" s="144"/>
      <c r="K832" s="144"/>
      <c r="L832" s="144"/>
      <c r="M832" s="144"/>
      <c r="N832" s="144"/>
      <c r="O832" s="144"/>
      <c r="P832" s="144"/>
      <c r="Q832" s="144"/>
      <c r="R832" s="144"/>
      <c r="S832" s="144"/>
      <c r="T832" s="144"/>
      <c r="U832" s="144"/>
      <c r="V832" s="144"/>
      <c r="W832" s="144"/>
      <c r="X832" s="144"/>
      <c r="Y832" s="144"/>
      <c r="Z832" s="144"/>
      <c r="AA832" s="144"/>
      <c r="AB832" s="144"/>
      <c r="AC832" s="144"/>
      <c r="AD832" s="144"/>
      <c r="AE832" s="144"/>
      <c r="AF832" s="144"/>
      <c r="AG832" s="144"/>
      <c r="AH832" s="144"/>
      <c r="AI832" s="144"/>
      <c r="AJ832" s="144"/>
      <c r="AK832" s="144"/>
      <c r="AL832" s="144"/>
      <c r="AM832" s="144"/>
      <c r="AN832" s="144"/>
      <c r="AO832" s="144"/>
      <c r="AP832" s="144"/>
      <c r="AQ832" s="144"/>
      <c r="AR832" s="144"/>
      <c r="AS832" s="144"/>
    </row>
    <row r="833">
      <c r="A833" s="144"/>
      <c r="B833" s="144"/>
      <c r="C833" s="144"/>
      <c r="D833" s="144"/>
      <c r="E833" s="144"/>
      <c r="F833" s="144"/>
      <c r="G833" s="144"/>
      <c r="H833" s="144"/>
      <c r="I833" s="144"/>
      <c r="J833" s="144"/>
      <c r="K833" s="144"/>
      <c r="L833" s="144"/>
      <c r="M833" s="144"/>
      <c r="N833" s="144"/>
      <c r="O833" s="144"/>
      <c r="P833" s="144"/>
      <c r="Q833" s="144"/>
      <c r="R833" s="144"/>
      <c r="S833" s="144"/>
      <c r="T833" s="144"/>
      <c r="U833" s="144"/>
      <c r="V833" s="144"/>
      <c r="W833" s="144"/>
      <c r="X833" s="144"/>
      <c r="Y833" s="144"/>
      <c r="Z833" s="144"/>
      <c r="AA833" s="144"/>
      <c r="AB833" s="144"/>
      <c r="AC833" s="144"/>
      <c r="AD833" s="144"/>
      <c r="AE833" s="144"/>
      <c r="AF833" s="144"/>
      <c r="AG833" s="144"/>
      <c r="AH833" s="144"/>
      <c r="AI833" s="144"/>
      <c r="AJ833" s="144"/>
      <c r="AK833" s="144"/>
      <c r="AL833" s="144"/>
      <c r="AM833" s="144"/>
      <c r="AN833" s="144"/>
      <c r="AO833" s="144"/>
      <c r="AP833" s="144"/>
      <c r="AQ833" s="144"/>
      <c r="AR833" s="144"/>
      <c r="AS833" s="144"/>
    </row>
    <row r="834">
      <c r="A834" s="144"/>
      <c r="B834" s="144"/>
      <c r="C834" s="144"/>
      <c r="D834" s="144"/>
      <c r="E834" s="144"/>
      <c r="F834" s="144"/>
      <c r="G834" s="144"/>
      <c r="H834" s="144"/>
      <c r="I834" s="144"/>
      <c r="J834" s="144"/>
      <c r="K834" s="144"/>
      <c r="L834" s="144"/>
      <c r="M834" s="144"/>
      <c r="N834" s="144"/>
      <c r="O834" s="144"/>
      <c r="P834" s="144"/>
      <c r="Q834" s="144"/>
      <c r="R834" s="144"/>
      <c r="S834" s="144"/>
      <c r="T834" s="144"/>
      <c r="U834" s="144"/>
      <c r="V834" s="144"/>
      <c r="W834" s="144"/>
      <c r="X834" s="144"/>
      <c r="Y834" s="144"/>
      <c r="Z834" s="144"/>
      <c r="AA834" s="144"/>
      <c r="AB834" s="144"/>
      <c r="AC834" s="144"/>
      <c r="AD834" s="144"/>
      <c r="AE834" s="144"/>
      <c r="AF834" s="144"/>
      <c r="AG834" s="144"/>
      <c r="AH834" s="144"/>
      <c r="AI834" s="144"/>
      <c r="AJ834" s="144"/>
      <c r="AK834" s="144"/>
      <c r="AL834" s="144"/>
      <c r="AM834" s="144"/>
      <c r="AN834" s="144"/>
      <c r="AO834" s="144"/>
      <c r="AP834" s="144"/>
      <c r="AQ834" s="144"/>
      <c r="AR834" s="144"/>
      <c r="AS834" s="144"/>
    </row>
    <row r="835">
      <c r="A835" s="144"/>
      <c r="B835" s="144"/>
      <c r="C835" s="144"/>
      <c r="D835" s="144"/>
      <c r="E835" s="144"/>
      <c r="F835" s="144"/>
      <c r="G835" s="144"/>
      <c r="H835" s="144"/>
      <c r="I835" s="144"/>
      <c r="J835" s="144"/>
      <c r="K835" s="144"/>
      <c r="L835" s="144"/>
      <c r="M835" s="144"/>
      <c r="N835" s="144"/>
      <c r="O835" s="144"/>
      <c r="P835" s="144"/>
      <c r="Q835" s="144"/>
      <c r="R835" s="144"/>
      <c r="S835" s="144"/>
      <c r="T835" s="144"/>
      <c r="U835" s="144"/>
      <c r="V835" s="144"/>
      <c r="W835" s="144"/>
      <c r="X835" s="144"/>
      <c r="Y835" s="144"/>
      <c r="Z835" s="144"/>
      <c r="AA835" s="144"/>
      <c r="AB835" s="144"/>
      <c r="AC835" s="144"/>
      <c r="AD835" s="144"/>
      <c r="AE835" s="144"/>
      <c r="AF835" s="144"/>
      <c r="AG835" s="144"/>
      <c r="AH835" s="144"/>
      <c r="AI835" s="144"/>
      <c r="AJ835" s="144"/>
      <c r="AK835" s="144"/>
      <c r="AL835" s="144"/>
      <c r="AM835" s="144"/>
      <c r="AN835" s="144"/>
      <c r="AO835" s="144"/>
      <c r="AP835" s="144"/>
      <c r="AQ835" s="144"/>
      <c r="AR835" s="144"/>
      <c r="AS835" s="144"/>
    </row>
    <row r="836">
      <c r="A836" s="144"/>
      <c r="B836" s="144"/>
      <c r="C836" s="144"/>
      <c r="D836" s="144"/>
      <c r="E836" s="144"/>
      <c r="F836" s="144"/>
      <c r="G836" s="144"/>
      <c r="H836" s="144"/>
      <c r="I836" s="144"/>
      <c r="J836" s="144"/>
      <c r="K836" s="144"/>
      <c r="L836" s="144"/>
      <c r="M836" s="144"/>
      <c r="N836" s="144"/>
      <c r="O836" s="144"/>
      <c r="P836" s="144"/>
      <c r="Q836" s="144"/>
      <c r="R836" s="144"/>
      <c r="S836" s="144"/>
      <c r="T836" s="144"/>
      <c r="U836" s="144"/>
      <c r="V836" s="144"/>
      <c r="W836" s="144"/>
      <c r="X836" s="144"/>
      <c r="Y836" s="144"/>
      <c r="Z836" s="144"/>
      <c r="AA836" s="144"/>
      <c r="AB836" s="144"/>
      <c r="AC836" s="144"/>
      <c r="AD836" s="144"/>
      <c r="AE836" s="144"/>
      <c r="AF836" s="144"/>
      <c r="AG836" s="144"/>
      <c r="AH836" s="144"/>
      <c r="AI836" s="144"/>
      <c r="AJ836" s="144"/>
      <c r="AK836" s="144"/>
      <c r="AL836" s="144"/>
      <c r="AM836" s="144"/>
      <c r="AN836" s="144"/>
      <c r="AO836" s="144"/>
      <c r="AP836" s="144"/>
      <c r="AQ836" s="144"/>
      <c r="AR836" s="144"/>
      <c r="AS836" s="144"/>
    </row>
    <row r="837">
      <c r="A837" s="144"/>
      <c r="B837" s="144"/>
      <c r="C837" s="144"/>
      <c r="D837" s="144"/>
      <c r="E837" s="144"/>
      <c r="F837" s="144"/>
      <c r="G837" s="144"/>
      <c r="H837" s="144"/>
      <c r="I837" s="144"/>
      <c r="J837" s="144"/>
      <c r="K837" s="144"/>
      <c r="L837" s="144"/>
      <c r="M837" s="144"/>
      <c r="N837" s="144"/>
      <c r="O837" s="144"/>
      <c r="P837" s="144"/>
      <c r="Q837" s="144"/>
      <c r="R837" s="144"/>
      <c r="S837" s="144"/>
      <c r="T837" s="144"/>
      <c r="U837" s="144"/>
      <c r="V837" s="144"/>
      <c r="W837" s="144"/>
      <c r="X837" s="144"/>
      <c r="Y837" s="144"/>
      <c r="Z837" s="144"/>
      <c r="AA837" s="144"/>
      <c r="AB837" s="144"/>
      <c r="AC837" s="144"/>
      <c r="AD837" s="144"/>
      <c r="AE837" s="144"/>
      <c r="AF837" s="144"/>
      <c r="AG837" s="144"/>
      <c r="AH837" s="144"/>
      <c r="AI837" s="144"/>
      <c r="AJ837" s="144"/>
      <c r="AK837" s="144"/>
      <c r="AL837" s="144"/>
      <c r="AM837" s="144"/>
      <c r="AN837" s="144"/>
      <c r="AO837" s="144"/>
      <c r="AP837" s="144"/>
      <c r="AQ837" s="144"/>
      <c r="AR837" s="144"/>
      <c r="AS837" s="144"/>
    </row>
    <row r="838">
      <c r="A838" s="144"/>
      <c r="B838" s="144"/>
      <c r="C838" s="144"/>
      <c r="D838" s="144"/>
      <c r="E838" s="144"/>
      <c r="F838" s="144"/>
      <c r="G838" s="144"/>
      <c r="H838" s="144"/>
      <c r="I838" s="144"/>
      <c r="J838" s="144"/>
      <c r="K838" s="144"/>
      <c r="L838" s="144"/>
      <c r="M838" s="144"/>
      <c r="N838" s="144"/>
      <c r="O838" s="144"/>
      <c r="P838" s="144"/>
      <c r="Q838" s="144"/>
      <c r="R838" s="144"/>
      <c r="S838" s="144"/>
      <c r="T838" s="144"/>
      <c r="U838" s="144"/>
      <c r="V838" s="144"/>
      <c r="W838" s="144"/>
      <c r="X838" s="144"/>
      <c r="Y838" s="144"/>
      <c r="Z838" s="144"/>
      <c r="AA838" s="144"/>
      <c r="AB838" s="144"/>
      <c r="AC838" s="144"/>
      <c r="AD838" s="144"/>
      <c r="AE838" s="144"/>
      <c r="AF838" s="144"/>
      <c r="AG838" s="144"/>
      <c r="AH838" s="144"/>
      <c r="AI838" s="144"/>
      <c r="AJ838" s="144"/>
      <c r="AK838" s="144"/>
      <c r="AL838" s="144"/>
      <c r="AM838" s="144"/>
      <c r="AN838" s="144"/>
      <c r="AO838" s="144"/>
      <c r="AP838" s="144"/>
      <c r="AQ838" s="144"/>
      <c r="AR838" s="144"/>
      <c r="AS838" s="144"/>
    </row>
    <row r="839">
      <c r="A839" s="144"/>
      <c r="B839" s="144"/>
      <c r="C839" s="144"/>
      <c r="D839" s="144"/>
      <c r="E839" s="144"/>
      <c r="F839" s="144"/>
      <c r="G839" s="144"/>
      <c r="H839" s="144"/>
      <c r="I839" s="144"/>
      <c r="J839" s="144"/>
      <c r="K839" s="144"/>
      <c r="L839" s="144"/>
      <c r="M839" s="144"/>
      <c r="N839" s="144"/>
      <c r="O839" s="144"/>
      <c r="P839" s="144"/>
      <c r="Q839" s="144"/>
      <c r="R839" s="144"/>
      <c r="S839" s="144"/>
      <c r="T839" s="144"/>
      <c r="U839" s="144"/>
      <c r="V839" s="144"/>
      <c r="W839" s="144"/>
      <c r="X839" s="144"/>
      <c r="Y839" s="144"/>
      <c r="Z839" s="144"/>
      <c r="AA839" s="144"/>
      <c r="AB839" s="144"/>
      <c r="AC839" s="144"/>
      <c r="AD839" s="144"/>
      <c r="AE839" s="144"/>
      <c r="AF839" s="144"/>
      <c r="AG839" s="144"/>
      <c r="AH839" s="144"/>
      <c r="AI839" s="144"/>
      <c r="AJ839" s="144"/>
      <c r="AK839" s="144"/>
      <c r="AL839" s="144"/>
      <c r="AM839" s="144"/>
      <c r="AN839" s="144"/>
      <c r="AO839" s="144"/>
      <c r="AP839" s="144"/>
      <c r="AQ839" s="144"/>
      <c r="AR839" s="144"/>
      <c r="AS839" s="144"/>
    </row>
    <row r="840">
      <c r="A840" s="144"/>
      <c r="B840" s="144"/>
      <c r="C840" s="144"/>
      <c r="D840" s="144"/>
      <c r="E840" s="144"/>
      <c r="F840" s="144"/>
      <c r="G840" s="144"/>
      <c r="H840" s="144"/>
      <c r="I840" s="144"/>
      <c r="J840" s="144"/>
      <c r="K840" s="144"/>
      <c r="L840" s="144"/>
      <c r="M840" s="144"/>
      <c r="N840" s="144"/>
      <c r="O840" s="144"/>
      <c r="P840" s="144"/>
      <c r="Q840" s="144"/>
      <c r="R840" s="144"/>
      <c r="S840" s="144"/>
      <c r="T840" s="144"/>
      <c r="U840" s="144"/>
      <c r="V840" s="144"/>
      <c r="W840" s="144"/>
      <c r="X840" s="144"/>
      <c r="Y840" s="144"/>
      <c r="Z840" s="144"/>
      <c r="AA840" s="144"/>
      <c r="AB840" s="144"/>
      <c r="AC840" s="144"/>
      <c r="AD840" s="144"/>
      <c r="AE840" s="144"/>
      <c r="AF840" s="144"/>
      <c r="AG840" s="144"/>
      <c r="AH840" s="144"/>
      <c r="AI840" s="144"/>
      <c r="AJ840" s="144"/>
      <c r="AK840" s="144"/>
      <c r="AL840" s="144"/>
      <c r="AM840" s="144"/>
      <c r="AN840" s="144"/>
      <c r="AO840" s="144"/>
      <c r="AP840" s="144"/>
      <c r="AQ840" s="144"/>
      <c r="AR840" s="144"/>
      <c r="AS840" s="144"/>
    </row>
    <row r="841">
      <c r="A841" s="144"/>
      <c r="B841" s="144"/>
      <c r="C841" s="144"/>
      <c r="D841" s="144"/>
      <c r="E841" s="144"/>
      <c r="F841" s="144"/>
      <c r="G841" s="144"/>
      <c r="H841" s="144"/>
      <c r="I841" s="144"/>
      <c r="J841" s="144"/>
      <c r="K841" s="144"/>
      <c r="L841" s="144"/>
      <c r="M841" s="144"/>
      <c r="N841" s="144"/>
      <c r="O841" s="144"/>
      <c r="P841" s="144"/>
      <c r="Q841" s="144"/>
      <c r="R841" s="144"/>
      <c r="S841" s="144"/>
      <c r="T841" s="144"/>
      <c r="U841" s="144"/>
      <c r="V841" s="144"/>
      <c r="W841" s="144"/>
      <c r="X841" s="144"/>
      <c r="Y841" s="144"/>
      <c r="Z841" s="144"/>
      <c r="AA841" s="144"/>
      <c r="AB841" s="144"/>
      <c r="AC841" s="144"/>
      <c r="AD841" s="144"/>
      <c r="AE841" s="144"/>
      <c r="AF841" s="144"/>
      <c r="AG841" s="144"/>
      <c r="AH841" s="144"/>
      <c r="AI841" s="144"/>
      <c r="AJ841" s="144"/>
      <c r="AK841" s="144"/>
      <c r="AL841" s="144"/>
      <c r="AM841" s="144"/>
      <c r="AN841" s="144"/>
      <c r="AO841" s="144"/>
      <c r="AP841" s="144"/>
      <c r="AQ841" s="144"/>
      <c r="AR841" s="144"/>
      <c r="AS841" s="144"/>
    </row>
    <row r="842">
      <c r="A842" s="144"/>
      <c r="B842" s="144"/>
      <c r="C842" s="144"/>
      <c r="D842" s="144"/>
      <c r="E842" s="144"/>
      <c r="F842" s="144"/>
      <c r="G842" s="144"/>
      <c r="H842" s="144"/>
      <c r="I842" s="144"/>
      <c r="J842" s="144"/>
      <c r="K842" s="144"/>
      <c r="L842" s="144"/>
      <c r="M842" s="144"/>
      <c r="N842" s="144"/>
      <c r="O842" s="144"/>
      <c r="P842" s="144"/>
      <c r="Q842" s="144"/>
      <c r="R842" s="144"/>
      <c r="S842" s="144"/>
      <c r="T842" s="144"/>
      <c r="U842" s="144"/>
      <c r="V842" s="144"/>
      <c r="W842" s="144"/>
      <c r="X842" s="144"/>
      <c r="Y842" s="144"/>
      <c r="Z842" s="144"/>
      <c r="AA842" s="144"/>
      <c r="AB842" s="144"/>
      <c r="AC842" s="144"/>
      <c r="AD842" s="144"/>
      <c r="AE842" s="144"/>
      <c r="AF842" s="144"/>
      <c r="AG842" s="144"/>
      <c r="AH842" s="144"/>
      <c r="AI842" s="144"/>
      <c r="AJ842" s="144"/>
      <c r="AK842" s="144"/>
      <c r="AL842" s="144"/>
      <c r="AM842" s="144"/>
      <c r="AN842" s="144"/>
      <c r="AO842" s="144"/>
      <c r="AP842" s="144"/>
      <c r="AQ842" s="144"/>
      <c r="AR842" s="144"/>
      <c r="AS842" s="144"/>
    </row>
    <row r="843">
      <c r="A843" s="144"/>
      <c r="B843" s="144"/>
      <c r="C843" s="144"/>
      <c r="D843" s="144"/>
      <c r="E843" s="144"/>
      <c r="F843" s="144"/>
      <c r="G843" s="144"/>
      <c r="H843" s="144"/>
      <c r="I843" s="144"/>
      <c r="J843" s="144"/>
      <c r="K843" s="144"/>
      <c r="L843" s="144"/>
      <c r="M843" s="144"/>
      <c r="N843" s="144"/>
      <c r="O843" s="144"/>
      <c r="P843" s="144"/>
      <c r="Q843" s="144"/>
      <c r="R843" s="144"/>
      <c r="S843" s="144"/>
      <c r="T843" s="144"/>
      <c r="U843" s="144"/>
      <c r="V843" s="144"/>
      <c r="W843" s="144"/>
      <c r="X843" s="144"/>
      <c r="Y843" s="144"/>
      <c r="Z843" s="144"/>
      <c r="AA843" s="144"/>
      <c r="AB843" s="144"/>
      <c r="AC843" s="144"/>
      <c r="AD843" s="144"/>
      <c r="AE843" s="144"/>
      <c r="AF843" s="144"/>
      <c r="AG843" s="144"/>
      <c r="AH843" s="144"/>
      <c r="AI843" s="144"/>
      <c r="AJ843" s="144"/>
      <c r="AK843" s="144"/>
      <c r="AL843" s="144"/>
      <c r="AM843" s="144"/>
      <c r="AN843" s="144"/>
      <c r="AO843" s="144"/>
      <c r="AP843" s="144"/>
      <c r="AQ843" s="144"/>
      <c r="AR843" s="144"/>
      <c r="AS843" s="144"/>
    </row>
    <row r="844">
      <c r="A844" s="144"/>
      <c r="B844" s="144"/>
      <c r="C844" s="144"/>
      <c r="D844" s="144"/>
      <c r="E844" s="144"/>
      <c r="F844" s="144"/>
      <c r="G844" s="144"/>
      <c r="H844" s="144"/>
      <c r="I844" s="144"/>
      <c r="J844" s="144"/>
      <c r="K844" s="144"/>
      <c r="L844" s="144"/>
      <c r="M844" s="144"/>
      <c r="N844" s="144"/>
      <c r="O844" s="144"/>
      <c r="P844" s="144"/>
      <c r="Q844" s="144"/>
      <c r="R844" s="144"/>
      <c r="S844" s="144"/>
      <c r="T844" s="144"/>
      <c r="U844" s="144"/>
      <c r="V844" s="144"/>
      <c r="W844" s="144"/>
      <c r="X844" s="144"/>
      <c r="Y844" s="144"/>
      <c r="Z844" s="144"/>
      <c r="AA844" s="144"/>
      <c r="AB844" s="144"/>
      <c r="AC844" s="144"/>
      <c r="AD844" s="144"/>
      <c r="AE844" s="144"/>
      <c r="AF844" s="144"/>
      <c r="AG844" s="144"/>
      <c r="AH844" s="144"/>
      <c r="AI844" s="144"/>
      <c r="AJ844" s="144"/>
      <c r="AK844" s="144"/>
      <c r="AL844" s="144"/>
      <c r="AM844" s="144"/>
      <c r="AN844" s="144"/>
      <c r="AO844" s="144"/>
      <c r="AP844" s="144"/>
      <c r="AQ844" s="144"/>
      <c r="AR844" s="144"/>
      <c r="AS844" s="144"/>
    </row>
    <row r="845">
      <c r="A845" s="144"/>
      <c r="B845" s="144"/>
      <c r="C845" s="144"/>
      <c r="D845" s="144"/>
      <c r="E845" s="144"/>
      <c r="F845" s="144"/>
      <c r="G845" s="144"/>
      <c r="H845" s="144"/>
      <c r="I845" s="144"/>
      <c r="J845" s="144"/>
      <c r="K845" s="144"/>
      <c r="L845" s="144"/>
      <c r="M845" s="144"/>
      <c r="N845" s="144"/>
      <c r="O845" s="144"/>
      <c r="P845" s="144"/>
      <c r="Q845" s="144"/>
      <c r="R845" s="144"/>
      <c r="S845" s="144"/>
      <c r="T845" s="144"/>
      <c r="U845" s="144"/>
      <c r="V845" s="144"/>
      <c r="W845" s="144"/>
      <c r="X845" s="144"/>
      <c r="Y845" s="144"/>
      <c r="Z845" s="144"/>
      <c r="AA845" s="144"/>
      <c r="AB845" s="144"/>
      <c r="AC845" s="144"/>
      <c r="AD845" s="144"/>
      <c r="AE845" s="144"/>
      <c r="AF845" s="144"/>
      <c r="AG845" s="144"/>
      <c r="AH845" s="144"/>
      <c r="AI845" s="144"/>
      <c r="AJ845" s="144"/>
      <c r="AK845" s="144"/>
      <c r="AL845" s="144"/>
      <c r="AM845" s="144"/>
      <c r="AN845" s="144"/>
      <c r="AO845" s="144"/>
      <c r="AP845" s="144"/>
      <c r="AQ845" s="144"/>
      <c r="AR845" s="144"/>
      <c r="AS845" s="144"/>
    </row>
    <row r="846">
      <c r="A846" s="144"/>
      <c r="B846" s="144"/>
      <c r="C846" s="144"/>
      <c r="D846" s="144"/>
      <c r="E846" s="144"/>
      <c r="F846" s="144"/>
      <c r="G846" s="144"/>
      <c r="H846" s="144"/>
      <c r="I846" s="144"/>
      <c r="J846" s="144"/>
      <c r="K846" s="144"/>
      <c r="L846" s="144"/>
      <c r="M846" s="144"/>
      <c r="N846" s="144"/>
      <c r="O846" s="144"/>
      <c r="P846" s="144"/>
      <c r="Q846" s="144"/>
      <c r="R846" s="144"/>
      <c r="S846" s="144"/>
      <c r="T846" s="144"/>
      <c r="U846" s="144"/>
      <c r="V846" s="144"/>
      <c r="W846" s="144"/>
      <c r="X846" s="144"/>
      <c r="Y846" s="144"/>
      <c r="Z846" s="144"/>
      <c r="AA846" s="144"/>
      <c r="AB846" s="144"/>
      <c r="AC846" s="144"/>
      <c r="AD846" s="144"/>
      <c r="AE846" s="144"/>
      <c r="AF846" s="144"/>
      <c r="AG846" s="144"/>
      <c r="AH846" s="144"/>
      <c r="AI846" s="144"/>
      <c r="AJ846" s="144"/>
      <c r="AK846" s="144"/>
      <c r="AL846" s="144"/>
      <c r="AM846" s="144"/>
      <c r="AN846" s="144"/>
      <c r="AO846" s="144"/>
      <c r="AP846" s="144"/>
      <c r="AQ846" s="144"/>
      <c r="AR846" s="144"/>
      <c r="AS846" s="144"/>
    </row>
    <row r="847">
      <c r="A847" s="144"/>
      <c r="B847" s="144"/>
      <c r="C847" s="144"/>
      <c r="D847" s="144"/>
      <c r="E847" s="144"/>
      <c r="F847" s="144"/>
      <c r="G847" s="144"/>
      <c r="H847" s="144"/>
      <c r="I847" s="144"/>
      <c r="J847" s="144"/>
      <c r="K847" s="144"/>
      <c r="L847" s="144"/>
      <c r="M847" s="144"/>
      <c r="N847" s="144"/>
      <c r="O847" s="144"/>
      <c r="P847" s="144"/>
      <c r="Q847" s="144"/>
      <c r="R847" s="144"/>
      <c r="S847" s="144"/>
      <c r="T847" s="144"/>
      <c r="U847" s="144"/>
      <c r="V847" s="144"/>
      <c r="W847" s="144"/>
      <c r="X847" s="144"/>
      <c r="Y847" s="144"/>
      <c r="Z847" s="144"/>
      <c r="AA847" s="144"/>
      <c r="AB847" s="144"/>
      <c r="AC847" s="144"/>
      <c r="AD847" s="144"/>
      <c r="AE847" s="144"/>
      <c r="AF847" s="144"/>
      <c r="AG847" s="144"/>
      <c r="AH847" s="144"/>
      <c r="AI847" s="144"/>
      <c r="AJ847" s="144"/>
      <c r="AK847" s="144"/>
      <c r="AL847" s="144"/>
      <c r="AM847" s="144"/>
      <c r="AN847" s="144"/>
      <c r="AO847" s="144"/>
      <c r="AP847" s="144"/>
      <c r="AQ847" s="144"/>
      <c r="AR847" s="144"/>
      <c r="AS847" s="144"/>
    </row>
    <row r="848">
      <c r="A848" s="144"/>
      <c r="B848" s="144"/>
      <c r="C848" s="144"/>
      <c r="D848" s="144"/>
      <c r="E848" s="144"/>
      <c r="F848" s="144"/>
      <c r="G848" s="144"/>
      <c r="H848" s="144"/>
      <c r="I848" s="144"/>
      <c r="J848" s="144"/>
      <c r="K848" s="144"/>
      <c r="L848" s="144"/>
      <c r="M848" s="144"/>
      <c r="N848" s="144"/>
      <c r="O848" s="144"/>
      <c r="P848" s="144"/>
      <c r="Q848" s="144"/>
      <c r="R848" s="144"/>
      <c r="S848" s="144"/>
      <c r="T848" s="144"/>
      <c r="U848" s="144"/>
      <c r="V848" s="144"/>
      <c r="W848" s="144"/>
      <c r="X848" s="144"/>
      <c r="Y848" s="144"/>
      <c r="Z848" s="144"/>
      <c r="AA848" s="144"/>
      <c r="AB848" s="144"/>
      <c r="AC848" s="144"/>
      <c r="AD848" s="144"/>
      <c r="AE848" s="144"/>
      <c r="AF848" s="144"/>
      <c r="AG848" s="144"/>
      <c r="AH848" s="144"/>
      <c r="AI848" s="144"/>
      <c r="AJ848" s="144"/>
      <c r="AK848" s="144"/>
      <c r="AL848" s="144"/>
      <c r="AM848" s="144"/>
      <c r="AN848" s="144"/>
      <c r="AO848" s="144"/>
      <c r="AP848" s="144"/>
      <c r="AQ848" s="144"/>
      <c r="AR848" s="144"/>
      <c r="AS848" s="144"/>
    </row>
    <row r="849">
      <c r="A849" s="144"/>
      <c r="B849" s="144"/>
      <c r="C849" s="144"/>
      <c r="D849" s="144"/>
      <c r="E849" s="144"/>
      <c r="F849" s="144"/>
      <c r="G849" s="144"/>
      <c r="H849" s="144"/>
      <c r="I849" s="144"/>
      <c r="J849" s="144"/>
      <c r="K849" s="144"/>
      <c r="L849" s="144"/>
      <c r="M849" s="144"/>
      <c r="N849" s="144"/>
      <c r="O849" s="144"/>
      <c r="P849" s="144"/>
      <c r="Q849" s="144"/>
      <c r="R849" s="144"/>
      <c r="S849" s="144"/>
      <c r="T849" s="144"/>
      <c r="U849" s="144"/>
      <c r="V849" s="144"/>
      <c r="W849" s="144"/>
      <c r="X849" s="144"/>
      <c r="Y849" s="144"/>
      <c r="Z849" s="144"/>
      <c r="AA849" s="144"/>
      <c r="AB849" s="144"/>
      <c r="AC849" s="144"/>
      <c r="AD849" s="144"/>
      <c r="AE849" s="144"/>
      <c r="AF849" s="144"/>
      <c r="AG849" s="144"/>
      <c r="AH849" s="144"/>
      <c r="AI849" s="144"/>
      <c r="AJ849" s="144"/>
      <c r="AK849" s="144"/>
      <c r="AL849" s="144"/>
      <c r="AM849" s="144"/>
      <c r="AN849" s="144"/>
      <c r="AO849" s="144"/>
      <c r="AP849" s="144"/>
      <c r="AQ849" s="144"/>
      <c r="AR849" s="144"/>
      <c r="AS849" s="144"/>
    </row>
    <row r="850">
      <c r="A850" s="144"/>
      <c r="B850" s="144"/>
      <c r="C850" s="144"/>
      <c r="D850" s="144"/>
      <c r="E850" s="144"/>
      <c r="F850" s="144"/>
      <c r="G850" s="144"/>
      <c r="H850" s="144"/>
      <c r="I850" s="144"/>
      <c r="J850" s="144"/>
      <c r="K850" s="144"/>
      <c r="L850" s="144"/>
      <c r="M850" s="144"/>
      <c r="N850" s="144"/>
      <c r="O850" s="144"/>
      <c r="P850" s="144"/>
      <c r="Q850" s="144"/>
      <c r="R850" s="144"/>
      <c r="S850" s="144"/>
      <c r="T850" s="144"/>
      <c r="U850" s="144"/>
      <c r="V850" s="144"/>
      <c r="W850" s="144"/>
      <c r="X850" s="144"/>
      <c r="Y850" s="144"/>
      <c r="Z850" s="144"/>
      <c r="AA850" s="144"/>
      <c r="AB850" s="144"/>
      <c r="AC850" s="144"/>
      <c r="AD850" s="144"/>
      <c r="AE850" s="144"/>
      <c r="AF850" s="144"/>
      <c r="AG850" s="144"/>
      <c r="AH850" s="144"/>
      <c r="AI850" s="144"/>
      <c r="AJ850" s="144"/>
      <c r="AK850" s="144"/>
      <c r="AL850" s="144"/>
      <c r="AM850" s="144"/>
      <c r="AN850" s="144"/>
      <c r="AO850" s="144"/>
      <c r="AP850" s="144"/>
      <c r="AQ850" s="144"/>
      <c r="AR850" s="144"/>
      <c r="AS850" s="144"/>
    </row>
    <row r="851">
      <c r="A851" s="144"/>
      <c r="B851" s="144"/>
      <c r="C851" s="144"/>
      <c r="D851" s="144"/>
      <c r="E851" s="144"/>
      <c r="F851" s="144"/>
      <c r="G851" s="144"/>
      <c r="H851" s="144"/>
      <c r="I851" s="144"/>
      <c r="J851" s="144"/>
      <c r="K851" s="144"/>
      <c r="L851" s="144"/>
      <c r="M851" s="144"/>
      <c r="N851" s="144"/>
      <c r="O851" s="144"/>
      <c r="P851" s="144"/>
      <c r="Q851" s="144"/>
      <c r="R851" s="144"/>
      <c r="S851" s="144"/>
      <c r="T851" s="144"/>
      <c r="U851" s="144"/>
      <c r="V851" s="144"/>
      <c r="W851" s="144"/>
      <c r="X851" s="144"/>
      <c r="Y851" s="144"/>
      <c r="Z851" s="144"/>
      <c r="AA851" s="144"/>
      <c r="AB851" s="144"/>
      <c r="AC851" s="144"/>
      <c r="AD851" s="144"/>
      <c r="AE851" s="144"/>
      <c r="AF851" s="144"/>
      <c r="AG851" s="144"/>
      <c r="AH851" s="144"/>
      <c r="AI851" s="144"/>
      <c r="AJ851" s="144"/>
      <c r="AK851" s="144"/>
      <c r="AL851" s="144"/>
      <c r="AM851" s="144"/>
      <c r="AN851" s="144"/>
      <c r="AO851" s="144"/>
      <c r="AP851" s="144"/>
      <c r="AQ851" s="144"/>
      <c r="AR851" s="144"/>
      <c r="AS851" s="144"/>
    </row>
    <row r="852">
      <c r="A852" s="144"/>
      <c r="B852" s="144"/>
      <c r="C852" s="144"/>
      <c r="D852" s="144"/>
      <c r="E852" s="144"/>
      <c r="F852" s="144"/>
      <c r="G852" s="144"/>
      <c r="H852" s="144"/>
      <c r="I852" s="144"/>
      <c r="J852" s="144"/>
      <c r="K852" s="144"/>
      <c r="L852" s="144"/>
      <c r="M852" s="144"/>
      <c r="N852" s="144"/>
      <c r="O852" s="144"/>
      <c r="P852" s="144"/>
      <c r="Q852" s="144"/>
      <c r="R852" s="144"/>
      <c r="S852" s="144"/>
      <c r="T852" s="144"/>
      <c r="U852" s="144"/>
      <c r="V852" s="144"/>
      <c r="W852" s="144"/>
      <c r="X852" s="144"/>
      <c r="Y852" s="144"/>
      <c r="Z852" s="144"/>
      <c r="AA852" s="144"/>
      <c r="AB852" s="144"/>
      <c r="AC852" s="144"/>
      <c r="AD852" s="144"/>
      <c r="AE852" s="144"/>
      <c r="AF852" s="144"/>
      <c r="AG852" s="144"/>
      <c r="AH852" s="144"/>
      <c r="AI852" s="144"/>
      <c r="AJ852" s="144"/>
      <c r="AK852" s="144"/>
      <c r="AL852" s="144"/>
      <c r="AM852" s="144"/>
      <c r="AN852" s="144"/>
      <c r="AO852" s="144"/>
      <c r="AP852" s="144"/>
      <c r="AQ852" s="144"/>
      <c r="AR852" s="144"/>
      <c r="AS852" s="144"/>
    </row>
    <row r="853">
      <c r="A853" s="144"/>
      <c r="B853" s="144"/>
      <c r="C853" s="144"/>
      <c r="D853" s="144"/>
      <c r="E853" s="144"/>
      <c r="F853" s="144"/>
      <c r="G853" s="144"/>
      <c r="H853" s="144"/>
      <c r="I853" s="144"/>
      <c r="J853" s="144"/>
      <c r="K853" s="144"/>
      <c r="L853" s="144"/>
      <c r="M853" s="144"/>
      <c r="N853" s="144"/>
      <c r="O853" s="144"/>
      <c r="P853" s="144"/>
      <c r="Q853" s="144"/>
      <c r="R853" s="144"/>
      <c r="S853" s="144"/>
      <c r="T853" s="144"/>
      <c r="U853" s="144"/>
      <c r="V853" s="144"/>
      <c r="W853" s="144"/>
      <c r="X853" s="144"/>
      <c r="Y853" s="144"/>
      <c r="Z853" s="144"/>
      <c r="AA853" s="144"/>
      <c r="AB853" s="144"/>
      <c r="AC853" s="144"/>
      <c r="AD853" s="144"/>
      <c r="AE853" s="144"/>
      <c r="AF853" s="144"/>
      <c r="AG853" s="144"/>
      <c r="AH853" s="144"/>
      <c r="AI853" s="144"/>
      <c r="AJ853" s="144"/>
      <c r="AK853" s="144"/>
      <c r="AL853" s="144"/>
      <c r="AM853" s="144"/>
      <c r="AN853" s="144"/>
      <c r="AO853" s="144"/>
      <c r="AP853" s="144"/>
      <c r="AQ853" s="144"/>
      <c r="AR853" s="144"/>
      <c r="AS853" s="144"/>
    </row>
    <row r="854">
      <c r="A854" s="144"/>
      <c r="B854" s="144"/>
      <c r="C854" s="144"/>
      <c r="D854" s="144"/>
      <c r="E854" s="144"/>
      <c r="F854" s="144"/>
      <c r="G854" s="144"/>
      <c r="H854" s="144"/>
      <c r="I854" s="144"/>
      <c r="J854" s="144"/>
      <c r="K854" s="144"/>
      <c r="L854" s="144"/>
      <c r="M854" s="144"/>
      <c r="N854" s="144"/>
      <c r="O854" s="144"/>
      <c r="P854" s="144"/>
      <c r="Q854" s="144"/>
      <c r="R854" s="144"/>
      <c r="S854" s="144"/>
      <c r="T854" s="144"/>
      <c r="U854" s="144"/>
      <c r="V854" s="144"/>
      <c r="W854" s="144"/>
      <c r="X854" s="144"/>
      <c r="Y854" s="144"/>
      <c r="Z854" s="144"/>
      <c r="AA854" s="144"/>
      <c r="AB854" s="144"/>
      <c r="AC854" s="144"/>
      <c r="AD854" s="144"/>
      <c r="AE854" s="144"/>
      <c r="AF854" s="144"/>
      <c r="AG854" s="144"/>
      <c r="AH854" s="144"/>
      <c r="AI854" s="144"/>
      <c r="AJ854" s="144"/>
      <c r="AK854" s="144"/>
      <c r="AL854" s="144"/>
      <c r="AM854" s="144"/>
      <c r="AN854" s="144"/>
      <c r="AO854" s="144"/>
      <c r="AP854" s="144"/>
      <c r="AQ854" s="144"/>
      <c r="AR854" s="144"/>
      <c r="AS854" s="144"/>
    </row>
    <row r="855">
      <c r="A855" s="144"/>
      <c r="B855" s="144"/>
      <c r="C855" s="144"/>
      <c r="D855" s="144"/>
      <c r="E855" s="144"/>
      <c r="F855" s="144"/>
      <c r="G855" s="144"/>
      <c r="H855" s="144"/>
      <c r="I855" s="144"/>
      <c r="J855" s="144"/>
      <c r="K855" s="144"/>
      <c r="L855" s="144"/>
      <c r="M855" s="144"/>
      <c r="N855" s="144"/>
      <c r="O855" s="144"/>
      <c r="P855" s="144"/>
      <c r="Q855" s="144"/>
      <c r="R855" s="144"/>
      <c r="S855" s="144"/>
      <c r="T855" s="144"/>
      <c r="U855" s="144"/>
      <c r="V855" s="144"/>
      <c r="W855" s="144"/>
      <c r="X855" s="144"/>
      <c r="Y855" s="144"/>
      <c r="Z855" s="144"/>
      <c r="AA855" s="144"/>
      <c r="AB855" s="144"/>
      <c r="AC855" s="144"/>
      <c r="AD855" s="144"/>
      <c r="AE855" s="144"/>
      <c r="AF855" s="144"/>
      <c r="AG855" s="144"/>
      <c r="AH855" s="144"/>
      <c r="AI855" s="144"/>
      <c r="AJ855" s="144"/>
      <c r="AK855" s="144"/>
      <c r="AL855" s="144"/>
      <c r="AM855" s="144"/>
      <c r="AN855" s="144"/>
      <c r="AO855" s="144"/>
      <c r="AP855" s="144"/>
      <c r="AQ855" s="144"/>
      <c r="AR855" s="144"/>
      <c r="AS855" s="144"/>
    </row>
    <row r="856">
      <c r="A856" s="144"/>
      <c r="B856" s="144"/>
      <c r="C856" s="144"/>
      <c r="D856" s="144"/>
      <c r="E856" s="144"/>
      <c r="F856" s="144"/>
      <c r="G856" s="144"/>
      <c r="H856" s="144"/>
      <c r="I856" s="144"/>
      <c r="J856" s="144"/>
      <c r="K856" s="144"/>
      <c r="L856" s="144"/>
      <c r="M856" s="144"/>
      <c r="N856" s="144"/>
      <c r="O856" s="144"/>
      <c r="P856" s="144"/>
      <c r="Q856" s="144"/>
      <c r="R856" s="144"/>
      <c r="S856" s="144"/>
      <c r="T856" s="144"/>
      <c r="U856" s="144"/>
      <c r="V856" s="144"/>
      <c r="W856" s="144"/>
      <c r="X856" s="144"/>
      <c r="Y856" s="144"/>
      <c r="Z856" s="144"/>
      <c r="AA856" s="144"/>
      <c r="AB856" s="144"/>
      <c r="AC856" s="144"/>
      <c r="AD856" s="144"/>
      <c r="AE856" s="144"/>
      <c r="AF856" s="144"/>
      <c r="AG856" s="144"/>
      <c r="AH856" s="144"/>
      <c r="AI856" s="144"/>
      <c r="AJ856" s="144"/>
      <c r="AK856" s="144"/>
      <c r="AL856" s="144"/>
      <c r="AM856" s="144"/>
      <c r="AN856" s="144"/>
      <c r="AO856" s="144"/>
      <c r="AP856" s="144"/>
      <c r="AQ856" s="144"/>
      <c r="AR856" s="144"/>
      <c r="AS856" s="144"/>
    </row>
    <row r="857">
      <c r="A857" s="144"/>
      <c r="B857" s="144"/>
      <c r="C857" s="144"/>
      <c r="D857" s="144"/>
      <c r="E857" s="144"/>
      <c r="F857" s="144"/>
      <c r="G857" s="144"/>
      <c r="H857" s="144"/>
      <c r="I857" s="144"/>
      <c r="J857" s="144"/>
      <c r="K857" s="144"/>
      <c r="L857" s="144"/>
      <c r="M857" s="144"/>
      <c r="N857" s="144"/>
      <c r="O857" s="144"/>
      <c r="P857" s="144"/>
      <c r="Q857" s="144"/>
      <c r="R857" s="144"/>
      <c r="S857" s="144"/>
      <c r="T857" s="144"/>
      <c r="U857" s="144"/>
      <c r="V857" s="144"/>
      <c r="W857" s="144"/>
      <c r="X857" s="144"/>
      <c r="Y857" s="144"/>
      <c r="Z857" s="144"/>
      <c r="AA857" s="144"/>
      <c r="AB857" s="144"/>
      <c r="AC857" s="144"/>
      <c r="AD857" s="144"/>
      <c r="AE857" s="144"/>
      <c r="AF857" s="144"/>
      <c r="AG857" s="144"/>
      <c r="AH857" s="144"/>
      <c r="AI857" s="144"/>
      <c r="AJ857" s="144"/>
      <c r="AK857" s="144"/>
      <c r="AL857" s="144"/>
      <c r="AM857" s="144"/>
      <c r="AN857" s="144"/>
      <c r="AO857" s="144"/>
      <c r="AP857" s="144"/>
      <c r="AQ857" s="144"/>
      <c r="AR857" s="144"/>
      <c r="AS857" s="144"/>
    </row>
    <row r="858">
      <c r="A858" s="144"/>
      <c r="B858" s="144"/>
      <c r="C858" s="144"/>
      <c r="D858" s="144"/>
      <c r="E858" s="144"/>
      <c r="F858" s="144"/>
      <c r="G858" s="144"/>
      <c r="H858" s="144"/>
      <c r="I858" s="144"/>
      <c r="J858" s="144"/>
      <c r="K858" s="144"/>
      <c r="L858" s="144"/>
      <c r="M858" s="144"/>
      <c r="N858" s="144"/>
      <c r="O858" s="144"/>
      <c r="P858" s="144"/>
      <c r="Q858" s="144"/>
      <c r="R858" s="144"/>
      <c r="S858" s="144"/>
      <c r="T858" s="144"/>
      <c r="U858" s="144"/>
      <c r="V858" s="144"/>
      <c r="W858" s="144"/>
      <c r="X858" s="144"/>
      <c r="Y858" s="144"/>
      <c r="Z858" s="144"/>
      <c r="AA858" s="144"/>
      <c r="AB858" s="144"/>
      <c r="AC858" s="144"/>
      <c r="AD858" s="144"/>
      <c r="AE858" s="144"/>
      <c r="AF858" s="144"/>
      <c r="AG858" s="144"/>
      <c r="AH858" s="144"/>
      <c r="AI858" s="144"/>
      <c r="AJ858" s="144"/>
      <c r="AK858" s="144"/>
      <c r="AL858" s="144"/>
      <c r="AM858" s="144"/>
      <c r="AN858" s="144"/>
      <c r="AO858" s="144"/>
      <c r="AP858" s="144"/>
      <c r="AQ858" s="144"/>
      <c r="AR858" s="144"/>
      <c r="AS858" s="144"/>
    </row>
    <row r="859">
      <c r="A859" s="144"/>
      <c r="B859" s="144"/>
      <c r="C859" s="144"/>
      <c r="D859" s="144"/>
      <c r="E859" s="144"/>
      <c r="F859" s="144"/>
      <c r="G859" s="144"/>
      <c r="H859" s="144"/>
      <c r="I859" s="144"/>
      <c r="J859" s="144"/>
      <c r="K859" s="144"/>
      <c r="L859" s="144"/>
      <c r="M859" s="144"/>
      <c r="N859" s="144"/>
      <c r="O859" s="144"/>
      <c r="P859" s="144"/>
      <c r="Q859" s="144"/>
      <c r="R859" s="144"/>
      <c r="S859" s="144"/>
      <c r="T859" s="144"/>
      <c r="U859" s="144"/>
      <c r="V859" s="144"/>
      <c r="W859" s="144"/>
      <c r="X859" s="144"/>
      <c r="Y859" s="144"/>
      <c r="Z859" s="144"/>
      <c r="AA859" s="144"/>
      <c r="AB859" s="144"/>
      <c r="AC859" s="144"/>
      <c r="AD859" s="144"/>
      <c r="AE859" s="144"/>
      <c r="AF859" s="144"/>
      <c r="AG859" s="144"/>
      <c r="AH859" s="144"/>
      <c r="AI859" s="144"/>
      <c r="AJ859" s="144"/>
      <c r="AK859" s="144"/>
      <c r="AL859" s="144"/>
      <c r="AM859" s="144"/>
      <c r="AN859" s="144"/>
      <c r="AO859" s="144"/>
      <c r="AP859" s="144"/>
      <c r="AQ859" s="144"/>
      <c r="AR859" s="144"/>
      <c r="AS859" s="144"/>
    </row>
    <row r="860">
      <c r="A860" s="144"/>
      <c r="B860" s="144"/>
      <c r="C860" s="144"/>
      <c r="D860" s="144"/>
      <c r="E860" s="144"/>
      <c r="F860" s="144"/>
      <c r="G860" s="144"/>
      <c r="H860" s="144"/>
      <c r="I860" s="144"/>
      <c r="J860" s="144"/>
      <c r="K860" s="144"/>
      <c r="L860" s="144"/>
      <c r="M860" s="144"/>
      <c r="N860" s="144"/>
      <c r="O860" s="144"/>
      <c r="P860" s="144"/>
      <c r="Q860" s="144"/>
      <c r="R860" s="144"/>
      <c r="S860" s="144"/>
      <c r="T860" s="144"/>
      <c r="U860" s="144"/>
      <c r="V860" s="144"/>
      <c r="W860" s="144"/>
      <c r="X860" s="144"/>
      <c r="Y860" s="144"/>
      <c r="Z860" s="144"/>
      <c r="AA860" s="144"/>
      <c r="AB860" s="144"/>
      <c r="AC860" s="144"/>
      <c r="AD860" s="144"/>
      <c r="AE860" s="144"/>
      <c r="AF860" s="144"/>
      <c r="AG860" s="144"/>
      <c r="AH860" s="144"/>
      <c r="AI860" s="144"/>
      <c r="AJ860" s="144"/>
      <c r="AK860" s="144"/>
      <c r="AL860" s="144"/>
      <c r="AM860" s="144"/>
      <c r="AN860" s="144"/>
      <c r="AO860" s="144"/>
      <c r="AP860" s="144"/>
      <c r="AQ860" s="144"/>
      <c r="AR860" s="144"/>
      <c r="AS860" s="144"/>
    </row>
    <row r="861">
      <c r="A861" s="144"/>
      <c r="B861" s="144"/>
      <c r="C861" s="144"/>
      <c r="D861" s="144"/>
      <c r="E861" s="144"/>
      <c r="F861" s="144"/>
      <c r="G861" s="144"/>
      <c r="H861" s="144"/>
      <c r="I861" s="144"/>
      <c r="J861" s="144"/>
      <c r="K861" s="144"/>
      <c r="L861" s="144"/>
      <c r="M861" s="144"/>
      <c r="N861" s="144"/>
      <c r="O861" s="144"/>
      <c r="P861" s="144"/>
      <c r="Q861" s="144"/>
      <c r="R861" s="144"/>
      <c r="S861" s="144"/>
      <c r="T861" s="144"/>
      <c r="U861" s="144"/>
      <c r="V861" s="144"/>
      <c r="W861" s="144"/>
      <c r="X861" s="144"/>
      <c r="Y861" s="144"/>
      <c r="Z861" s="144"/>
      <c r="AA861" s="144"/>
      <c r="AB861" s="144"/>
      <c r="AC861" s="144"/>
      <c r="AD861" s="144"/>
      <c r="AE861" s="144"/>
      <c r="AF861" s="144"/>
      <c r="AG861" s="144"/>
      <c r="AH861" s="144"/>
      <c r="AI861" s="144"/>
      <c r="AJ861" s="144"/>
      <c r="AK861" s="144"/>
      <c r="AL861" s="144"/>
      <c r="AM861" s="144"/>
      <c r="AN861" s="144"/>
      <c r="AO861" s="144"/>
      <c r="AP861" s="144"/>
      <c r="AQ861" s="144"/>
      <c r="AR861" s="144"/>
      <c r="AS861" s="144"/>
    </row>
    <row r="862">
      <c r="A862" s="144"/>
      <c r="B862" s="144"/>
      <c r="C862" s="144"/>
      <c r="D862" s="144"/>
      <c r="E862" s="144"/>
      <c r="F862" s="144"/>
      <c r="G862" s="144"/>
      <c r="H862" s="144"/>
      <c r="I862" s="144"/>
      <c r="J862" s="144"/>
      <c r="K862" s="144"/>
      <c r="L862" s="144"/>
      <c r="M862" s="144"/>
      <c r="N862" s="144"/>
      <c r="O862" s="144"/>
      <c r="P862" s="144"/>
      <c r="Q862" s="144"/>
      <c r="R862" s="144"/>
      <c r="S862" s="144"/>
      <c r="T862" s="144"/>
      <c r="U862" s="144"/>
      <c r="V862" s="144"/>
      <c r="W862" s="144"/>
      <c r="X862" s="144"/>
      <c r="Y862" s="144"/>
      <c r="Z862" s="144"/>
      <c r="AA862" s="144"/>
      <c r="AB862" s="144"/>
      <c r="AC862" s="144"/>
      <c r="AD862" s="144"/>
      <c r="AE862" s="144"/>
      <c r="AF862" s="144"/>
      <c r="AG862" s="144"/>
      <c r="AH862" s="144"/>
      <c r="AI862" s="144"/>
      <c r="AJ862" s="144"/>
      <c r="AK862" s="144"/>
      <c r="AL862" s="144"/>
      <c r="AM862" s="144"/>
      <c r="AN862" s="144"/>
      <c r="AO862" s="144"/>
      <c r="AP862" s="144"/>
      <c r="AQ862" s="144"/>
      <c r="AR862" s="144"/>
      <c r="AS862" s="144"/>
    </row>
    <row r="863">
      <c r="A863" s="144"/>
      <c r="B863" s="144"/>
      <c r="C863" s="144"/>
      <c r="D863" s="144"/>
      <c r="E863" s="144"/>
      <c r="F863" s="144"/>
      <c r="G863" s="144"/>
      <c r="H863" s="144"/>
      <c r="I863" s="144"/>
      <c r="J863" s="144"/>
      <c r="K863" s="144"/>
      <c r="L863" s="144"/>
      <c r="M863" s="144"/>
      <c r="N863" s="144"/>
      <c r="O863" s="144"/>
      <c r="P863" s="144"/>
      <c r="Q863" s="144"/>
      <c r="R863" s="144"/>
      <c r="S863" s="144"/>
      <c r="T863" s="144"/>
      <c r="U863" s="144"/>
      <c r="V863" s="144"/>
      <c r="W863" s="144"/>
      <c r="X863" s="144"/>
      <c r="Y863" s="144"/>
      <c r="Z863" s="144"/>
      <c r="AA863" s="144"/>
      <c r="AB863" s="144"/>
      <c r="AC863" s="144"/>
      <c r="AD863" s="144"/>
      <c r="AE863" s="144"/>
      <c r="AF863" s="144"/>
      <c r="AG863" s="144"/>
      <c r="AH863" s="144"/>
      <c r="AI863" s="144"/>
      <c r="AJ863" s="144"/>
      <c r="AK863" s="144"/>
      <c r="AL863" s="144"/>
      <c r="AM863" s="144"/>
      <c r="AN863" s="144"/>
      <c r="AO863" s="144"/>
      <c r="AP863" s="144"/>
      <c r="AQ863" s="144"/>
      <c r="AR863" s="144"/>
      <c r="AS863" s="144"/>
    </row>
    <row r="864">
      <c r="A864" s="144"/>
      <c r="B864" s="144"/>
      <c r="C864" s="144"/>
      <c r="D864" s="144"/>
      <c r="E864" s="144"/>
      <c r="F864" s="144"/>
      <c r="G864" s="144"/>
      <c r="H864" s="144"/>
      <c r="I864" s="144"/>
      <c r="J864" s="144"/>
      <c r="K864" s="144"/>
      <c r="L864" s="144"/>
      <c r="M864" s="144"/>
      <c r="N864" s="144"/>
      <c r="O864" s="144"/>
      <c r="P864" s="144"/>
      <c r="Q864" s="144"/>
      <c r="R864" s="144"/>
      <c r="S864" s="144"/>
      <c r="T864" s="144"/>
      <c r="U864" s="144"/>
      <c r="V864" s="144"/>
      <c r="W864" s="144"/>
      <c r="X864" s="144"/>
      <c r="Y864" s="144"/>
      <c r="Z864" s="144"/>
      <c r="AA864" s="144"/>
      <c r="AB864" s="144"/>
      <c r="AC864" s="144"/>
      <c r="AD864" s="144"/>
      <c r="AE864" s="144"/>
      <c r="AF864" s="144"/>
      <c r="AG864" s="144"/>
      <c r="AH864" s="144"/>
      <c r="AI864" s="144"/>
      <c r="AJ864" s="144"/>
      <c r="AK864" s="144"/>
      <c r="AL864" s="144"/>
      <c r="AM864" s="144"/>
      <c r="AN864" s="144"/>
      <c r="AO864" s="144"/>
      <c r="AP864" s="144"/>
      <c r="AQ864" s="144"/>
      <c r="AR864" s="144"/>
      <c r="AS864" s="144"/>
    </row>
    <row r="865">
      <c r="A865" s="144"/>
      <c r="B865" s="144"/>
      <c r="C865" s="144"/>
      <c r="D865" s="144"/>
      <c r="E865" s="144"/>
      <c r="F865" s="144"/>
      <c r="G865" s="144"/>
      <c r="H865" s="144"/>
      <c r="I865" s="144"/>
      <c r="J865" s="144"/>
      <c r="K865" s="144"/>
      <c r="L865" s="144"/>
      <c r="M865" s="144"/>
      <c r="N865" s="144"/>
      <c r="O865" s="144"/>
      <c r="P865" s="144"/>
      <c r="Q865" s="144"/>
      <c r="R865" s="144"/>
      <c r="S865" s="144"/>
      <c r="T865" s="144"/>
      <c r="U865" s="144"/>
      <c r="V865" s="144"/>
      <c r="W865" s="144"/>
      <c r="X865" s="144"/>
      <c r="Y865" s="144"/>
      <c r="Z865" s="144"/>
      <c r="AA865" s="144"/>
      <c r="AB865" s="144"/>
      <c r="AC865" s="144"/>
      <c r="AD865" s="144"/>
      <c r="AE865" s="144"/>
      <c r="AF865" s="144"/>
      <c r="AG865" s="144"/>
      <c r="AH865" s="144"/>
      <c r="AI865" s="144"/>
      <c r="AJ865" s="144"/>
      <c r="AK865" s="144"/>
      <c r="AL865" s="144"/>
      <c r="AM865" s="144"/>
      <c r="AN865" s="144"/>
      <c r="AO865" s="144"/>
      <c r="AP865" s="144"/>
      <c r="AQ865" s="144"/>
      <c r="AR865" s="144"/>
      <c r="AS865" s="144"/>
    </row>
    <row r="866">
      <c r="A866" s="144"/>
      <c r="B866" s="144"/>
      <c r="C866" s="144"/>
      <c r="D866" s="144"/>
      <c r="E866" s="144"/>
      <c r="F866" s="144"/>
      <c r="G866" s="144"/>
      <c r="H866" s="144"/>
      <c r="I866" s="144"/>
      <c r="J866" s="144"/>
      <c r="K866" s="144"/>
      <c r="L866" s="144"/>
      <c r="M866" s="144"/>
      <c r="N866" s="144"/>
      <c r="O866" s="144"/>
      <c r="P866" s="144"/>
      <c r="Q866" s="144"/>
      <c r="R866" s="144"/>
      <c r="S866" s="144"/>
      <c r="T866" s="144"/>
      <c r="U866" s="144"/>
      <c r="V866" s="144"/>
      <c r="W866" s="144"/>
      <c r="X866" s="144"/>
      <c r="Y866" s="144"/>
      <c r="Z866" s="144"/>
      <c r="AA866" s="144"/>
      <c r="AB866" s="144"/>
      <c r="AC866" s="144"/>
      <c r="AD866" s="144"/>
      <c r="AE866" s="144"/>
      <c r="AF866" s="144"/>
      <c r="AG866" s="144"/>
      <c r="AH866" s="144"/>
      <c r="AI866" s="144"/>
      <c r="AJ866" s="144"/>
      <c r="AK866" s="144"/>
      <c r="AL866" s="144"/>
      <c r="AM866" s="144"/>
      <c r="AN866" s="144"/>
      <c r="AO866" s="144"/>
      <c r="AP866" s="144"/>
      <c r="AQ866" s="144"/>
      <c r="AR866" s="144"/>
      <c r="AS866" s="144"/>
    </row>
    <row r="867">
      <c r="A867" s="144"/>
      <c r="B867" s="144"/>
      <c r="C867" s="144"/>
      <c r="D867" s="144"/>
      <c r="E867" s="144"/>
      <c r="F867" s="144"/>
      <c r="G867" s="144"/>
      <c r="H867" s="144"/>
      <c r="I867" s="144"/>
      <c r="J867" s="144"/>
      <c r="K867" s="144"/>
      <c r="L867" s="144"/>
      <c r="M867" s="144"/>
      <c r="N867" s="144"/>
      <c r="O867" s="144"/>
      <c r="P867" s="144"/>
      <c r="Q867" s="144"/>
      <c r="R867" s="144"/>
      <c r="S867" s="144"/>
      <c r="T867" s="144"/>
      <c r="U867" s="144"/>
      <c r="V867" s="144"/>
      <c r="W867" s="144"/>
      <c r="X867" s="144"/>
      <c r="Y867" s="144"/>
      <c r="Z867" s="144"/>
      <c r="AA867" s="144"/>
      <c r="AB867" s="144"/>
      <c r="AC867" s="144"/>
      <c r="AD867" s="144"/>
      <c r="AE867" s="144"/>
      <c r="AF867" s="144"/>
      <c r="AG867" s="144"/>
      <c r="AH867" s="144"/>
      <c r="AI867" s="144"/>
      <c r="AJ867" s="144"/>
      <c r="AK867" s="144"/>
      <c r="AL867" s="144"/>
      <c r="AM867" s="144"/>
      <c r="AN867" s="144"/>
      <c r="AO867" s="144"/>
      <c r="AP867" s="144"/>
      <c r="AQ867" s="144"/>
      <c r="AR867" s="144"/>
      <c r="AS867" s="144"/>
    </row>
    <row r="868">
      <c r="A868" s="144"/>
      <c r="B868" s="144"/>
      <c r="C868" s="144"/>
      <c r="D868" s="144"/>
      <c r="E868" s="144"/>
      <c r="F868" s="144"/>
      <c r="G868" s="144"/>
      <c r="H868" s="144"/>
      <c r="I868" s="144"/>
      <c r="J868" s="144"/>
      <c r="K868" s="144"/>
      <c r="L868" s="144"/>
      <c r="M868" s="144"/>
      <c r="N868" s="144"/>
      <c r="O868" s="144"/>
      <c r="P868" s="144"/>
      <c r="Q868" s="144"/>
      <c r="R868" s="144"/>
      <c r="S868" s="144"/>
      <c r="T868" s="144"/>
      <c r="U868" s="144"/>
      <c r="V868" s="144"/>
      <c r="W868" s="144"/>
      <c r="X868" s="144"/>
      <c r="Y868" s="144"/>
      <c r="Z868" s="144"/>
      <c r="AA868" s="144"/>
      <c r="AB868" s="144"/>
      <c r="AC868" s="144"/>
      <c r="AD868" s="144"/>
      <c r="AE868" s="144"/>
      <c r="AF868" s="144"/>
      <c r="AG868" s="144"/>
      <c r="AH868" s="144"/>
      <c r="AI868" s="144"/>
      <c r="AJ868" s="144"/>
      <c r="AK868" s="144"/>
      <c r="AL868" s="144"/>
      <c r="AM868" s="144"/>
      <c r="AN868" s="144"/>
      <c r="AO868" s="144"/>
      <c r="AP868" s="144"/>
      <c r="AQ868" s="144"/>
      <c r="AR868" s="144"/>
      <c r="AS868" s="144"/>
    </row>
    <row r="869">
      <c r="A869" s="144"/>
      <c r="B869" s="144"/>
      <c r="C869" s="144"/>
      <c r="D869" s="144"/>
      <c r="E869" s="144"/>
      <c r="F869" s="144"/>
      <c r="G869" s="144"/>
      <c r="H869" s="144"/>
      <c r="I869" s="144"/>
      <c r="J869" s="144"/>
      <c r="K869" s="144"/>
      <c r="L869" s="144"/>
      <c r="M869" s="144"/>
      <c r="N869" s="144"/>
      <c r="O869" s="144"/>
      <c r="P869" s="144"/>
      <c r="Q869" s="144"/>
      <c r="R869" s="144"/>
      <c r="S869" s="144"/>
      <c r="T869" s="144"/>
      <c r="U869" s="144"/>
      <c r="V869" s="144"/>
      <c r="W869" s="144"/>
      <c r="X869" s="144"/>
      <c r="Y869" s="144"/>
      <c r="Z869" s="144"/>
      <c r="AA869" s="144"/>
      <c r="AB869" s="144"/>
      <c r="AC869" s="144"/>
      <c r="AD869" s="144"/>
      <c r="AE869" s="144"/>
      <c r="AF869" s="144"/>
      <c r="AG869" s="144"/>
      <c r="AH869" s="144"/>
      <c r="AI869" s="144"/>
      <c r="AJ869" s="144"/>
      <c r="AK869" s="144"/>
      <c r="AL869" s="144"/>
      <c r="AM869" s="144"/>
      <c r="AN869" s="144"/>
      <c r="AO869" s="144"/>
      <c r="AP869" s="144"/>
      <c r="AQ869" s="144"/>
      <c r="AR869" s="144"/>
      <c r="AS869" s="144"/>
    </row>
    <row r="870">
      <c r="A870" s="144"/>
      <c r="B870" s="144"/>
      <c r="C870" s="144"/>
      <c r="D870" s="144"/>
      <c r="E870" s="144"/>
      <c r="F870" s="144"/>
      <c r="G870" s="144"/>
      <c r="H870" s="144"/>
      <c r="I870" s="144"/>
      <c r="J870" s="144"/>
      <c r="K870" s="144"/>
      <c r="L870" s="144"/>
      <c r="M870" s="144"/>
      <c r="N870" s="144"/>
      <c r="O870" s="144"/>
      <c r="P870" s="144"/>
      <c r="Q870" s="144"/>
      <c r="R870" s="144"/>
      <c r="S870" s="144"/>
      <c r="T870" s="144"/>
      <c r="U870" s="144"/>
      <c r="V870" s="144"/>
      <c r="W870" s="144"/>
      <c r="X870" s="144"/>
      <c r="Y870" s="144"/>
      <c r="Z870" s="144"/>
      <c r="AA870" s="144"/>
      <c r="AB870" s="144"/>
      <c r="AC870" s="144"/>
      <c r="AD870" s="144"/>
      <c r="AE870" s="144"/>
      <c r="AF870" s="144"/>
      <c r="AG870" s="144"/>
      <c r="AH870" s="144"/>
      <c r="AI870" s="144"/>
      <c r="AJ870" s="144"/>
      <c r="AK870" s="144"/>
      <c r="AL870" s="144"/>
      <c r="AM870" s="144"/>
      <c r="AN870" s="144"/>
      <c r="AO870" s="144"/>
      <c r="AP870" s="144"/>
      <c r="AQ870" s="144"/>
      <c r="AR870" s="144"/>
      <c r="AS870" s="144"/>
    </row>
    <row r="871">
      <c r="A871" s="144"/>
      <c r="B871" s="144"/>
      <c r="C871" s="144"/>
      <c r="D871" s="144"/>
      <c r="E871" s="144"/>
      <c r="F871" s="144"/>
      <c r="G871" s="144"/>
      <c r="H871" s="144"/>
      <c r="I871" s="144"/>
      <c r="J871" s="144"/>
      <c r="K871" s="144"/>
      <c r="L871" s="144"/>
      <c r="M871" s="144"/>
      <c r="N871" s="144"/>
      <c r="O871" s="144"/>
      <c r="P871" s="144"/>
      <c r="Q871" s="144"/>
      <c r="R871" s="144"/>
      <c r="S871" s="144"/>
      <c r="T871" s="144"/>
      <c r="U871" s="144"/>
      <c r="V871" s="144"/>
      <c r="W871" s="144"/>
      <c r="X871" s="144"/>
      <c r="Y871" s="144"/>
      <c r="Z871" s="144"/>
      <c r="AA871" s="144"/>
      <c r="AB871" s="144"/>
      <c r="AC871" s="144"/>
      <c r="AD871" s="144"/>
      <c r="AE871" s="144"/>
      <c r="AF871" s="144"/>
      <c r="AG871" s="144"/>
      <c r="AH871" s="144"/>
      <c r="AI871" s="144"/>
      <c r="AJ871" s="144"/>
      <c r="AK871" s="144"/>
      <c r="AL871" s="144"/>
      <c r="AM871" s="144"/>
      <c r="AN871" s="144"/>
      <c r="AO871" s="144"/>
      <c r="AP871" s="144"/>
      <c r="AQ871" s="144"/>
      <c r="AR871" s="144"/>
      <c r="AS871" s="144"/>
    </row>
    <row r="872">
      <c r="A872" s="144"/>
      <c r="B872" s="144"/>
      <c r="C872" s="144"/>
      <c r="D872" s="144"/>
      <c r="E872" s="144"/>
      <c r="F872" s="144"/>
      <c r="G872" s="144"/>
      <c r="H872" s="144"/>
      <c r="I872" s="144"/>
      <c r="J872" s="144"/>
      <c r="K872" s="144"/>
      <c r="L872" s="144"/>
      <c r="M872" s="144"/>
      <c r="N872" s="144"/>
      <c r="O872" s="144"/>
      <c r="P872" s="144"/>
      <c r="Q872" s="144"/>
      <c r="R872" s="144"/>
      <c r="S872" s="144"/>
      <c r="T872" s="144"/>
      <c r="U872" s="144"/>
      <c r="V872" s="144"/>
      <c r="W872" s="144"/>
      <c r="X872" s="144"/>
      <c r="Y872" s="144"/>
      <c r="Z872" s="144"/>
      <c r="AA872" s="144"/>
      <c r="AB872" s="144"/>
      <c r="AC872" s="144"/>
      <c r="AD872" s="144"/>
      <c r="AE872" s="144"/>
      <c r="AF872" s="144"/>
      <c r="AG872" s="144"/>
      <c r="AH872" s="144"/>
      <c r="AI872" s="144"/>
      <c r="AJ872" s="144"/>
      <c r="AK872" s="144"/>
      <c r="AL872" s="144"/>
      <c r="AM872" s="144"/>
      <c r="AN872" s="144"/>
      <c r="AO872" s="144"/>
      <c r="AP872" s="144"/>
      <c r="AQ872" s="144"/>
      <c r="AR872" s="144"/>
      <c r="AS872" s="144"/>
    </row>
    <row r="873">
      <c r="A873" s="144"/>
      <c r="B873" s="144"/>
      <c r="C873" s="144"/>
      <c r="D873" s="144"/>
      <c r="E873" s="144"/>
      <c r="F873" s="144"/>
      <c r="G873" s="144"/>
      <c r="H873" s="144"/>
      <c r="I873" s="144"/>
      <c r="J873" s="144"/>
      <c r="K873" s="144"/>
      <c r="L873" s="144"/>
      <c r="M873" s="144"/>
      <c r="N873" s="144"/>
      <c r="O873" s="144"/>
      <c r="P873" s="144"/>
      <c r="Q873" s="144"/>
      <c r="R873" s="144"/>
      <c r="S873" s="144"/>
      <c r="T873" s="144"/>
      <c r="U873" s="144"/>
      <c r="V873" s="144"/>
      <c r="W873" s="144"/>
      <c r="X873" s="144"/>
      <c r="Y873" s="144"/>
      <c r="Z873" s="144"/>
      <c r="AA873" s="144"/>
      <c r="AB873" s="144"/>
      <c r="AC873" s="144"/>
      <c r="AD873" s="144"/>
      <c r="AE873" s="144"/>
      <c r="AF873" s="144"/>
      <c r="AG873" s="144"/>
      <c r="AH873" s="144"/>
      <c r="AI873" s="144"/>
      <c r="AJ873" s="144"/>
      <c r="AK873" s="144"/>
      <c r="AL873" s="144"/>
      <c r="AM873" s="144"/>
      <c r="AN873" s="144"/>
      <c r="AO873" s="144"/>
      <c r="AP873" s="144"/>
      <c r="AQ873" s="144"/>
      <c r="AR873" s="144"/>
      <c r="AS873" s="144"/>
    </row>
    <row r="874">
      <c r="A874" s="144"/>
      <c r="B874" s="144"/>
      <c r="C874" s="144"/>
      <c r="D874" s="144"/>
      <c r="E874" s="144"/>
      <c r="F874" s="144"/>
      <c r="G874" s="144"/>
      <c r="H874" s="144"/>
      <c r="I874" s="144"/>
      <c r="J874" s="144"/>
      <c r="K874" s="144"/>
      <c r="L874" s="144"/>
      <c r="M874" s="144"/>
      <c r="N874" s="144"/>
      <c r="O874" s="144"/>
      <c r="P874" s="144"/>
      <c r="Q874" s="144"/>
      <c r="R874" s="144"/>
      <c r="S874" s="144"/>
      <c r="T874" s="144"/>
      <c r="U874" s="144"/>
      <c r="V874" s="144"/>
      <c r="W874" s="144"/>
      <c r="X874" s="144"/>
      <c r="Y874" s="144"/>
      <c r="Z874" s="144"/>
      <c r="AA874" s="144"/>
      <c r="AB874" s="144"/>
      <c r="AC874" s="144"/>
      <c r="AD874" s="144"/>
      <c r="AE874" s="144"/>
      <c r="AF874" s="144"/>
      <c r="AG874" s="144"/>
      <c r="AH874" s="144"/>
      <c r="AI874" s="144"/>
      <c r="AJ874" s="144"/>
      <c r="AK874" s="144"/>
      <c r="AL874" s="144"/>
      <c r="AM874" s="144"/>
      <c r="AN874" s="144"/>
      <c r="AO874" s="144"/>
      <c r="AP874" s="144"/>
      <c r="AQ874" s="144"/>
      <c r="AR874" s="144"/>
      <c r="AS874" s="144"/>
    </row>
    <row r="875">
      <c r="A875" s="144"/>
      <c r="B875" s="144"/>
      <c r="C875" s="144"/>
      <c r="D875" s="144"/>
      <c r="E875" s="144"/>
      <c r="F875" s="144"/>
      <c r="G875" s="144"/>
      <c r="H875" s="144"/>
      <c r="I875" s="144"/>
      <c r="J875" s="144"/>
      <c r="K875" s="144"/>
      <c r="L875" s="144"/>
      <c r="M875" s="144"/>
      <c r="N875" s="144"/>
      <c r="O875" s="144"/>
      <c r="P875" s="144"/>
      <c r="Q875" s="144"/>
      <c r="R875" s="144"/>
      <c r="S875" s="144"/>
      <c r="T875" s="144"/>
      <c r="U875" s="144"/>
      <c r="V875" s="144"/>
      <c r="W875" s="144"/>
      <c r="X875" s="144"/>
      <c r="Y875" s="144"/>
      <c r="Z875" s="144"/>
      <c r="AA875" s="144"/>
      <c r="AB875" s="144"/>
      <c r="AC875" s="144"/>
      <c r="AD875" s="144"/>
      <c r="AE875" s="144"/>
      <c r="AF875" s="144"/>
      <c r="AG875" s="144"/>
      <c r="AH875" s="144"/>
      <c r="AI875" s="144"/>
      <c r="AJ875" s="144"/>
      <c r="AK875" s="144"/>
      <c r="AL875" s="144"/>
      <c r="AM875" s="144"/>
      <c r="AN875" s="144"/>
      <c r="AO875" s="144"/>
      <c r="AP875" s="144"/>
      <c r="AQ875" s="144"/>
      <c r="AR875" s="144"/>
      <c r="AS875" s="144"/>
    </row>
    <row r="876">
      <c r="A876" s="144"/>
      <c r="B876" s="144"/>
      <c r="C876" s="144"/>
      <c r="D876" s="144"/>
      <c r="E876" s="144"/>
      <c r="F876" s="144"/>
      <c r="G876" s="144"/>
      <c r="H876" s="144"/>
      <c r="I876" s="144"/>
      <c r="J876" s="144"/>
      <c r="K876" s="144"/>
      <c r="L876" s="144"/>
      <c r="M876" s="144"/>
      <c r="N876" s="144"/>
      <c r="O876" s="144"/>
      <c r="P876" s="144"/>
      <c r="Q876" s="144"/>
      <c r="R876" s="144"/>
      <c r="S876" s="144"/>
      <c r="T876" s="144"/>
      <c r="U876" s="144"/>
      <c r="V876" s="144"/>
      <c r="W876" s="144"/>
      <c r="X876" s="144"/>
      <c r="Y876" s="144"/>
      <c r="Z876" s="144"/>
      <c r="AA876" s="144"/>
      <c r="AB876" s="144"/>
      <c r="AC876" s="144"/>
      <c r="AD876" s="144"/>
      <c r="AE876" s="144"/>
      <c r="AF876" s="144"/>
      <c r="AG876" s="144"/>
      <c r="AH876" s="144"/>
      <c r="AI876" s="144"/>
      <c r="AJ876" s="144"/>
      <c r="AK876" s="144"/>
      <c r="AL876" s="144"/>
      <c r="AM876" s="144"/>
      <c r="AN876" s="144"/>
      <c r="AO876" s="144"/>
      <c r="AP876" s="144"/>
      <c r="AQ876" s="144"/>
      <c r="AR876" s="144"/>
      <c r="AS876" s="144"/>
    </row>
    <row r="877">
      <c r="A877" s="144"/>
      <c r="B877" s="144"/>
      <c r="C877" s="144"/>
      <c r="D877" s="144"/>
      <c r="E877" s="144"/>
      <c r="F877" s="144"/>
      <c r="G877" s="144"/>
      <c r="H877" s="144"/>
      <c r="I877" s="144"/>
      <c r="J877" s="144"/>
      <c r="K877" s="144"/>
      <c r="L877" s="144"/>
      <c r="M877" s="144"/>
      <c r="N877" s="144"/>
      <c r="O877" s="144"/>
      <c r="P877" s="144"/>
      <c r="Q877" s="144"/>
      <c r="R877" s="144"/>
      <c r="S877" s="144"/>
      <c r="T877" s="144"/>
      <c r="U877" s="144"/>
      <c r="V877" s="144"/>
      <c r="W877" s="144"/>
      <c r="X877" s="144"/>
      <c r="Y877" s="144"/>
      <c r="Z877" s="144"/>
      <c r="AA877" s="144"/>
      <c r="AB877" s="144"/>
      <c r="AC877" s="144"/>
      <c r="AD877" s="144"/>
      <c r="AE877" s="144"/>
      <c r="AF877" s="144"/>
      <c r="AG877" s="144"/>
      <c r="AH877" s="144"/>
      <c r="AI877" s="144"/>
      <c r="AJ877" s="144"/>
      <c r="AK877" s="144"/>
      <c r="AL877" s="144"/>
      <c r="AM877" s="144"/>
      <c r="AN877" s="144"/>
      <c r="AO877" s="144"/>
      <c r="AP877" s="144"/>
      <c r="AQ877" s="144"/>
      <c r="AR877" s="144"/>
      <c r="AS877" s="144"/>
    </row>
    <row r="878">
      <c r="A878" s="144"/>
      <c r="B878" s="144"/>
      <c r="C878" s="144"/>
      <c r="D878" s="144"/>
      <c r="E878" s="144"/>
      <c r="F878" s="144"/>
      <c r="G878" s="144"/>
      <c r="H878" s="144"/>
      <c r="I878" s="144"/>
      <c r="J878" s="144"/>
      <c r="K878" s="144"/>
      <c r="L878" s="144"/>
      <c r="M878" s="144"/>
      <c r="N878" s="144"/>
      <c r="O878" s="144"/>
      <c r="P878" s="144"/>
      <c r="Q878" s="144"/>
      <c r="R878" s="144"/>
      <c r="S878" s="144"/>
      <c r="T878" s="144"/>
      <c r="U878" s="144"/>
      <c r="V878" s="144"/>
      <c r="W878" s="144"/>
      <c r="X878" s="144"/>
      <c r="Y878" s="144"/>
      <c r="Z878" s="144"/>
      <c r="AA878" s="144"/>
      <c r="AB878" s="144"/>
      <c r="AC878" s="144"/>
      <c r="AD878" s="144"/>
      <c r="AE878" s="144"/>
      <c r="AF878" s="144"/>
      <c r="AG878" s="144"/>
      <c r="AH878" s="144"/>
      <c r="AI878" s="144"/>
      <c r="AJ878" s="144"/>
      <c r="AK878" s="144"/>
      <c r="AL878" s="144"/>
      <c r="AM878" s="144"/>
      <c r="AN878" s="144"/>
      <c r="AO878" s="144"/>
      <c r="AP878" s="144"/>
      <c r="AQ878" s="144"/>
      <c r="AR878" s="144"/>
      <c r="AS878" s="144"/>
    </row>
    <row r="879">
      <c r="A879" s="144"/>
      <c r="B879" s="144"/>
      <c r="C879" s="144"/>
      <c r="D879" s="144"/>
      <c r="E879" s="144"/>
      <c r="F879" s="144"/>
      <c r="G879" s="144"/>
      <c r="H879" s="144"/>
      <c r="I879" s="144"/>
      <c r="J879" s="144"/>
      <c r="K879" s="144"/>
      <c r="L879" s="144"/>
      <c r="M879" s="144"/>
      <c r="N879" s="144"/>
      <c r="O879" s="144"/>
      <c r="P879" s="144"/>
      <c r="Q879" s="144"/>
      <c r="R879" s="144"/>
      <c r="S879" s="144"/>
      <c r="T879" s="144"/>
      <c r="U879" s="144"/>
      <c r="V879" s="144"/>
      <c r="W879" s="144"/>
      <c r="X879" s="144"/>
      <c r="Y879" s="144"/>
      <c r="Z879" s="144"/>
      <c r="AA879" s="144"/>
      <c r="AB879" s="144"/>
      <c r="AC879" s="144"/>
      <c r="AD879" s="144"/>
      <c r="AE879" s="144"/>
      <c r="AF879" s="144"/>
      <c r="AG879" s="144"/>
      <c r="AH879" s="144"/>
      <c r="AI879" s="144"/>
      <c r="AJ879" s="144"/>
      <c r="AK879" s="144"/>
      <c r="AL879" s="144"/>
      <c r="AM879" s="144"/>
      <c r="AN879" s="144"/>
      <c r="AO879" s="144"/>
      <c r="AP879" s="144"/>
      <c r="AQ879" s="144"/>
      <c r="AR879" s="144"/>
      <c r="AS879" s="144"/>
    </row>
    <row r="880">
      <c r="A880" s="144"/>
      <c r="B880" s="144"/>
      <c r="C880" s="144"/>
      <c r="D880" s="144"/>
      <c r="E880" s="144"/>
      <c r="F880" s="144"/>
      <c r="G880" s="144"/>
      <c r="H880" s="144"/>
      <c r="I880" s="144"/>
      <c r="J880" s="144"/>
      <c r="K880" s="144"/>
      <c r="L880" s="144"/>
      <c r="M880" s="144"/>
      <c r="N880" s="144"/>
      <c r="O880" s="144"/>
      <c r="P880" s="144"/>
      <c r="Q880" s="144"/>
      <c r="R880" s="144"/>
      <c r="S880" s="144"/>
      <c r="T880" s="144"/>
      <c r="U880" s="144"/>
      <c r="V880" s="144"/>
      <c r="W880" s="144"/>
      <c r="X880" s="144"/>
      <c r="Y880" s="144"/>
      <c r="Z880" s="144"/>
      <c r="AA880" s="144"/>
      <c r="AB880" s="144"/>
      <c r="AC880" s="144"/>
      <c r="AD880" s="144"/>
      <c r="AE880" s="144"/>
      <c r="AF880" s="144"/>
      <c r="AG880" s="144"/>
      <c r="AH880" s="144"/>
      <c r="AI880" s="144"/>
      <c r="AJ880" s="144"/>
      <c r="AK880" s="144"/>
      <c r="AL880" s="144"/>
      <c r="AM880" s="144"/>
      <c r="AN880" s="144"/>
      <c r="AO880" s="144"/>
      <c r="AP880" s="144"/>
      <c r="AQ880" s="144"/>
      <c r="AR880" s="144"/>
      <c r="AS880" s="144"/>
    </row>
    <row r="881">
      <c r="A881" s="144"/>
      <c r="B881" s="144"/>
      <c r="C881" s="144"/>
      <c r="D881" s="144"/>
      <c r="E881" s="144"/>
      <c r="F881" s="144"/>
      <c r="G881" s="144"/>
      <c r="H881" s="144"/>
      <c r="I881" s="144"/>
      <c r="J881" s="144"/>
      <c r="K881" s="144"/>
      <c r="L881" s="144"/>
      <c r="M881" s="144"/>
      <c r="N881" s="144"/>
      <c r="O881" s="144"/>
      <c r="P881" s="144"/>
      <c r="Q881" s="144"/>
      <c r="R881" s="144"/>
      <c r="S881" s="144"/>
      <c r="T881" s="144"/>
      <c r="U881" s="144"/>
      <c r="V881" s="144"/>
      <c r="W881" s="144"/>
      <c r="X881" s="144"/>
      <c r="Y881" s="144"/>
      <c r="Z881" s="144"/>
      <c r="AA881" s="144"/>
      <c r="AB881" s="144"/>
      <c r="AC881" s="144"/>
      <c r="AD881" s="144"/>
      <c r="AE881" s="144"/>
      <c r="AF881" s="144"/>
      <c r="AG881" s="144"/>
      <c r="AH881" s="144"/>
      <c r="AI881" s="144"/>
      <c r="AJ881" s="144"/>
      <c r="AK881" s="144"/>
      <c r="AL881" s="144"/>
      <c r="AM881" s="144"/>
      <c r="AN881" s="144"/>
      <c r="AO881" s="144"/>
      <c r="AP881" s="144"/>
      <c r="AQ881" s="144"/>
      <c r="AR881" s="144"/>
      <c r="AS881" s="144"/>
    </row>
    <row r="882">
      <c r="A882" s="144"/>
      <c r="B882" s="144"/>
      <c r="C882" s="144"/>
      <c r="D882" s="144"/>
      <c r="E882" s="144"/>
      <c r="F882" s="144"/>
      <c r="G882" s="144"/>
      <c r="H882" s="144"/>
      <c r="I882" s="144"/>
      <c r="J882" s="144"/>
      <c r="K882" s="144"/>
      <c r="L882" s="144"/>
      <c r="M882" s="144"/>
      <c r="N882" s="144"/>
      <c r="O882" s="144"/>
      <c r="P882" s="144"/>
      <c r="Q882" s="144"/>
      <c r="R882" s="144"/>
      <c r="S882" s="144"/>
      <c r="T882" s="144"/>
      <c r="U882" s="144"/>
      <c r="V882" s="144"/>
      <c r="W882" s="144"/>
      <c r="X882" s="144"/>
      <c r="Y882" s="144"/>
      <c r="Z882" s="144"/>
      <c r="AA882" s="144"/>
      <c r="AB882" s="144"/>
      <c r="AC882" s="144"/>
      <c r="AD882" s="144"/>
      <c r="AE882" s="144"/>
      <c r="AF882" s="144"/>
      <c r="AG882" s="144"/>
      <c r="AH882" s="144"/>
      <c r="AI882" s="144"/>
      <c r="AJ882" s="144"/>
      <c r="AK882" s="144"/>
      <c r="AL882" s="144"/>
      <c r="AM882" s="144"/>
      <c r="AN882" s="144"/>
      <c r="AO882" s="144"/>
      <c r="AP882" s="144"/>
      <c r="AQ882" s="144"/>
      <c r="AR882" s="144"/>
      <c r="AS882" s="144"/>
    </row>
    <row r="883">
      <c r="A883" s="144"/>
      <c r="B883" s="144"/>
      <c r="C883" s="144"/>
      <c r="D883" s="144"/>
      <c r="E883" s="144"/>
      <c r="F883" s="144"/>
      <c r="G883" s="144"/>
      <c r="H883" s="144"/>
      <c r="I883" s="144"/>
      <c r="J883" s="144"/>
      <c r="K883" s="144"/>
      <c r="L883" s="144"/>
      <c r="M883" s="144"/>
      <c r="N883" s="144"/>
      <c r="O883" s="144"/>
      <c r="P883" s="144"/>
      <c r="Q883" s="144"/>
      <c r="R883" s="144"/>
      <c r="S883" s="144"/>
      <c r="T883" s="144"/>
      <c r="U883" s="144"/>
      <c r="V883" s="144"/>
      <c r="W883" s="144"/>
      <c r="X883" s="144"/>
      <c r="Y883" s="144"/>
      <c r="Z883" s="144"/>
      <c r="AA883" s="144"/>
      <c r="AB883" s="144"/>
      <c r="AC883" s="144"/>
      <c r="AD883" s="144"/>
      <c r="AE883" s="144"/>
      <c r="AF883" s="144"/>
      <c r="AG883" s="144"/>
      <c r="AH883" s="144"/>
      <c r="AI883" s="144"/>
      <c r="AJ883" s="144"/>
      <c r="AK883" s="144"/>
      <c r="AL883" s="144"/>
      <c r="AM883" s="144"/>
      <c r="AN883" s="144"/>
      <c r="AO883" s="144"/>
      <c r="AP883" s="144"/>
      <c r="AQ883" s="144"/>
      <c r="AR883" s="144"/>
      <c r="AS883" s="144"/>
    </row>
    <row r="884">
      <c r="A884" s="144"/>
      <c r="B884" s="144"/>
      <c r="C884" s="144"/>
      <c r="D884" s="144"/>
      <c r="E884" s="144"/>
      <c r="F884" s="144"/>
      <c r="G884" s="144"/>
      <c r="H884" s="144"/>
      <c r="I884" s="144"/>
      <c r="J884" s="144"/>
      <c r="K884" s="144"/>
      <c r="L884" s="144"/>
      <c r="M884" s="144"/>
      <c r="N884" s="144"/>
      <c r="O884" s="144"/>
      <c r="P884" s="144"/>
      <c r="Q884" s="144"/>
      <c r="R884" s="144"/>
      <c r="S884" s="144"/>
      <c r="T884" s="144"/>
      <c r="U884" s="144"/>
      <c r="V884" s="144"/>
      <c r="W884" s="144"/>
      <c r="X884" s="144"/>
      <c r="Y884" s="144"/>
      <c r="Z884" s="144"/>
      <c r="AA884" s="144"/>
      <c r="AB884" s="144"/>
      <c r="AC884" s="144"/>
      <c r="AD884" s="144"/>
      <c r="AE884" s="144"/>
      <c r="AF884" s="144"/>
      <c r="AG884" s="144"/>
      <c r="AH884" s="144"/>
      <c r="AI884" s="144"/>
      <c r="AJ884" s="144"/>
      <c r="AK884" s="144"/>
      <c r="AL884" s="144"/>
      <c r="AM884" s="144"/>
      <c r="AN884" s="144"/>
      <c r="AO884" s="144"/>
      <c r="AP884" s="144"/>
      <c r="AQ884" s="144"/>
      <c r="AR884" s="144"/>
      <c r="AS884" s="144"/>
    </row>
    <row r="885">
      <c r="A885" s="144"/>
      <c r="B885" s="144"/>
      <c r="C885" s="144"/>
      <c r="D885" s="144"/>
      <c r="E885" s="144"/>
      <c r="F885" s="144"/>
      <c r="G885" s="144"/>
      <c r="H885" s="144"/>
      <c r="I885" s="144"/>
      <c r="J885" s="144"/>
      <c r="K885" s="144"/>
      <c r="L885" s="144"/>
      <c r="M885" s="144"/>
      <c r="N885" s="144"/>
      <c r="O885" s="144"/>
      <c r="P885" s="144"/>
      <c r="Q885" s="144"/>
      <c r="R885" s="144"/>
      <c r="S885" s="144"/>
      <c r="T885" s="144"/>
      <c r="U885" s="144"/>
      <c r="V885" s="144"/>
      <c r="W885" s="144"/>
      <c r="X885" s="144"/>
      <c r="Y885" s="144"/>
      <c r="Z885" s="144"/>
      <c r="AA885" s="144"/>
      <c r="AB885" s="144"/>
      <c r="AC885" s="144"/>
      <c r="AD885" s="144"/>
      <c r="AE885" s="144"/>
      <c r="AF885" s="144"/>
      <c r="AG885" s="144"/>
      <c r="AH885" s="144"/>
      <c r="AI885" s="144"/>
      <c r="AJ885" s="144"/>
      <c r="AK885" s="144"/>
      <c r="AL885" s="144"/>
      <c r="AM885" s="144"/>
      <c r="AN885" s="144"/>
      <c r="AO885" s="144"/>
      <c r="AP885" s="144"/>
      <c r="AQ885" s="144"/>
      <c r="AR885" s="144"/>
      <c r="AS885" s="144"/>
    </row>
    <row r="886">
      <c r="A886" s="144"/>
      <c r="B886" s="144"/>
      <c r="C886" s="144"/>
      <c r="D886" s="144"/>
      <c r="E886" s="144"/>
      <c r="F886" s="144"/>
      <c r="G886" s="144"/>
      <c r="H886" s="144"/>
      <c r="I886" s="144"/>
      <c r="J886" s="144"/>
      <c r="K886" s="144"/>
      <c r="L886" s="144"/>
      <c r="M886" s="144"/>
      <c r="N886" s="144"/>
      <c r="O886" s="144"/>
      <c r="P886" s="144"/>
      <c r="Q886" s="144"/>
      <c r="R886" s="144"/>
      <c r="S886" s="144"/>
      <c r="T886" s="144"/>
      <c r="U886" s="144"/>
      <c r="V886" s="144"/>
      <c r="W886" s="144"/>
      <c r="X886" s="144"/>
      <c r="Y886" s="144"/>
      <c r="Z886" s="144"/>
      <c r="AA886" s="144"/>
      <c r="AB886" s="144"/>
      <c r="AC886" s="144"/>
      <c r="AD886" s="144"/>
      <c r="AE886" s="144"/>
      <c r="AF886" s="144"/>
      <c r="AG886" s="144"/>
      <c r="AH886" s="144"/>
      <c r="AI886" s="144"/>
      <c r="AJ886" s="144"/>
      <c r="AK886" s="144"/>
      <c r="AL886" s="144"/>
      <c r="AM886" s="144"/>
      <c r="AN886" s="144"/>
      <c r="AO886" s="144"/>
      <c r="AP886" s="144"/>
      <c r="AQ886" s="144"/>
      <c r="AR886" s="144"/>
      <c r="AS886" s="144"/>
    </row>
    <row r="887">
      <c r="A887" s="144"/>
      <c r="B887" s="144"/>
      <c r="C887" s="144"/>
      <c r="D887" s="144"/>
      <c r="E887" s="144"/>
      <c r="F887" s="144"/>
      <c r="G887" s="144"/>
      <c r="H887" s="144"/>
      <c r="I887" s="144"/>
      <c r="J887" s="144"/>
      <c r="K887" s="144"/>
      <c r="L887" s="144"/>
      <c r="M887" s="144"/>
      <c r="N887" s="144"/>
      <c r="O887" s="144"/>
      <c r="P887" s="144"/>
      <c r="Q887" s="144"/>
      <c r="R887" s="144"/>
      <c r="S887" s="144"/>
      <c r="T887" s="144"/>
      <c r="U887" s="144"/>
      <c r="V887" s="144"/>
      <c r="W887" s="144"/>
      <c r="X887" s="144"/>
      <c r="Y887" s="144"/>
      <c r="Z887" s="144"/>
      <c r="AA887" s="144"/>
      <c r="AB887" s="144"/>
      <c r="AC887" s="144"/>
      <c r="AD887" s="144"/>
      <c r="AE887" s="144"/>
      <c r="AF887" s="144"/>
      <c r="AG887" s="144"/>
      <c r="AH887" s="144"/>
      <c r="AI887" s="144"/>
      <c r="AJ887" s="144"/>
      <c r="AK887" s="144"/>
      <c r="AL887" s="144"/>
      <c r="AM887" s="144"/>
      <c r="AN887" s="144"/>
      <c r="AO887" s="144"/>
      <c r="AP887" s="144"/>
      <c r="AQ887" s="144"/>
      <c r="AR887" s="144"/>
      <c r="AS887" s="144"/>
    </row>
    <row r="888">
      <c r="A888" s="144"/>
      <c r="B888" s="144"/>
      <c r="C888" s="144"/>
      <c r="D888" s="144"/>
      <c r="E888" s="144"/>
      <c r="F888" s="144"/>
      <c r="G888" s="144"/>
      <c r="H888" s="144"/>
      <c r="I888" s="144"/>
      <c r="J888" s="144"/>
      <c r="K888" s="144"/>
      <c r="L888" s="144"/>
      <c r="M888" s="144"/>
      <c r="N888" s="144"/>
      <c r="O888" s="144"/>
      <c r="P888" s="144"/>
      <c r="Q888" s="144"/>
      <c r="R888" s="144"/>
      <c r="S888" s="144"/>
      <c r="T888" s="144"/>
      <c r="U888" s="144"/>
      <c r="V888" s="144"/>
      <c r="W888" s="144"/>
      <c r="X888" s="144"/>
      <c r="Y888" s="144"/>
      <c r="Z888" s="144"/>
      <c r="AA888" s="144"/>
      <c r="AB888" s="144"/>
      <c r="AC888" s="144"/>
      <c r="AD888" s="144"/>
      <c r="AE888" s="144"/>
      <c r="AF888" s="144"/>
      <c r="AG888" s="144"/>
      <c r="AH888" s="144"/>
      <c r="AI888" s="144"/>
      <c r="AJ888" s="144"/>
      <c r="AK888" s="144"/>
      <c r="AL888" s="144"/>
      <c r="AM888" s="144"/>
      <c r="AN888" s="144"/>
      <c r="AO888" s="144"/>
      <c r="AP888" s="144"/>
      <c r="AQ888" s="144"/>
      <c r="AR888" s="144"/>
      <c r="AS888" s="144"/>
    </row>
    <row r="889">
      <c r="A889" s="144"/>
      <c r="B889" s="144"/>
      <c r="C889" s="144"/>
      <c r="D889" s="144"/>
      <c r="E889" s="144"/>
      <c r="F889" s="144"/>
      <c r="G889" s="144"/>
      <c r="H889" s="144"/>
      <c r="I889" s="144"/>
      <c r="J889" s="144"/>
      <c r="K889" s="144"/>
      <c r="L889" s="144"/>
      <c r="M889" s="144"/>
      <c r="N889" s="144"/>
      <c r="O889" s="144"/>
      <c r="P889" s="144"/>
      <c r="Q889" s="144"/>
      <c r="R889" s="144"/>
      <c r="S889" s="144"/>
      <c r="T889" s="144"/>
      <c r="U889" s="144"/>
      <c r="V889" s="144"/>
      <c r="W889" s="144"/>
      <c r="X889" s="144"/>
      <c r="Y889" s="144"/>
      <c r="Z889" s="144"/>
      <c r="AA889" s="144"/>
      <c r="AB889" s="144"/>
      <c r="AC889" s="144"/>
      <c r="AD889" s="144"/>
      <c r="AE889" s="144"/>
      <c r="AF889" s="144"/>
      <c r="AG889" s="144"/>
      <c r="AH889" s="144"/>
      <c r="AI889" s="144"/>
      <c r="AJ889" s="144"/>
      <c r="AK889" s="144"/>
      <c r="AL889" s="144"/>
      <c r="AM889" s="144"/>
      <c r="AN889" s="144"/>
      <c r="AO889" s="144"/>
      <c r="AP889" s="144"/>
      <c r="AQ889" s="144"/>
      <c r="AR889" s="144"/>
      <c r="AS889" s="144"/>
    </row>
    <row r="890">
      <c r="A890" s="144"/>
      <c r="B890" s="144"/>
      <c r="C890" s="144"/>
      <c r="D890" s="144"/>
      <c r="E890" s="144"/>
      <c r="F890" s="144"/>
      <c r="G890" s="144"/>
      <c r="H890" s="144"/>
      <c r="I890" s="144"/>
      <c r="J890" s="144"/>
      <c r="K890" s="144"/>
      <c r="L890" s="144"/>
      <c r="M890" s="144"/>
      <c r="N890" s="144"/>
      <c r="O890" s="144"/>
      <c r="P890" s="144"/>
      <c r="Q890" s="144"/>
      <c r="R890" s="144"/>
      <c r="S890" s="144"/>
      <c r="T890" s="144"/>
      <c r="U890" s="144"/>
      <c r="V890" s="144"/>
      <c r="W890" s="144"/>
      <c r="X890" s="144"/>
      <c r="Y890" s="144"/>
      <c r="Z890" s="144"/>
      <c r="AA890" s="144"/>
      <c r="AB890" s="144"/>
      <c r="AC890" s="144"/>
      <c r="AD890" s="144"/>
      <c r="AE890" s="144"/>
      <c r="AF890" s="144"/>
      <c r="AG890" s="144"/>
      <c r="AH890" s="144"/>
      <c r="AI890" s="144"/>
      <c r="AJ890" s="144"/>
      <c r="AK890" s="144"/>
      <c r="AL890" s="144"/>
      <c r="AM890" s="144"/>
      <c r="AN890" s="144"/>
      <c r="AO890" s="144"/>
      <c r="AP890" s="144"/>
      <c r="AQ890" s="144"/>
      <c r="AR890" s="144"/>
      <c r="AS890" s="144"/>
    </row>
    <row r="891">
      <c r="A891" s="144"/>
      <c r="B891" s="144"/>
      <c r="C891" s="144"/>
      <c r="D891" s="144"/>
      <c r="E891" s="144"/>
      <c r="F891" s="144"/>
      <c r="G891" s="144"/>
      <c r="H891" s="144"/>
      <c r="I891" s="144"/>
      <c r="J891" s="144"/>
      <c r="K891" s="144"/>
      <c r="L891" s="144"/>
      <c r="M891" s="144"/>
      <c r="N891" s="144"/>
      <c r="O891" s="144"/>
      <c r="P891" s="144"/>
      <c r="Q891" s="144"/>
      <c r="R891" s="144"/>
      <c r="S891" s="144"/>
      <c r="T891" s="144"/>
      <c r="U891" s="144"/>
      <c r="V891" s="144"/>
      <c r="W891" s="144"/>
      <c r="X891" s="144"/>
      <c r="Y891" s="144"/>
      <c r="Z891" s="144"/>
      <c r="AA891" s="144"/>
      <c r="AB891" s="144"/>
      <c r="AC891" s="144"/>
      <c r="AD891" s="144"/>
      <c r="AE891" s="144"/>
      <c r="AF891" s="144"/>
      <c r="AG891" s="144"/>
      <c r="AH891" s="144"/>
      <c r="AI891" s="144"/>
      <c r="AJ891" s="144"/>
      <c r="AK891" s="144"/>
      <c r="AL891" s="144"/>
      <c r="AM891" s="144"/>
      <c r="AN891" s="144"/>
      <c r="AO891" s="144"/>
      <c r="AP891" s="144"/>
      <c r="AQ891" s="144"/>
      <c r="AR891" s="144"/>
      <c r="AS891" s="144"/>
    </row>
    <row r="892">
      <c r="A892" s="144"/>
      <c r="B892" s="144"/>
      <c r="C892" s="144"/>
      <c r="D892" s="144"/>
      <c r="E892" s="144"/>
      <c r="F892" s="144"/>
      <c r="G892" s="144"/>
      <c r="H892" s="144"/>
      <c r="I892" s="144"/>
      <c r="J892" s="144"/>
      <c r="K892" s="144"/>
      <c r="L892" s="144"/>
      <c r="M892" s="144"/>
      <c r="N892" s="144"/>
      <c r="O892" s="144"/>
      <c r="P892" s="144"/>
      <c r="Q892" s="144"/>
      <c r="R892" s="144"/>
      <c r="S892" s="144"/>
      <c r="T892" s="144"/>
      <c r="U892" s="144"/>
      <c r="V892" s="144"/>
      <c r="W892" s="144"/>
      <c r="X892" s="144"/>
      <c r="Y892" s="144"/>
      <c r="Z892" s="144"/>
      <c r="AA892" s="144"/>
      <c r="AB892" s="144"/>
      <c r="AC892" s="144"/>
      <c r="AD892" s="144"/>
      <c r="AE892" s="144"/>
      <c r="AF892" s="144"/>
      <c r="AG892" s="144"/>
      <c r="AH892" s="144"/>
      <c r="AI892" s="144"/>
      <c r="AJ892" s="144"/>
      <c r="AK892" s="144"/>
      <c r="AL892" s="144"/>
      <c r="AM892" s="144"/>
      <c r="AN892" s="144"/>
      <c r="AO892" s="144"/>
      <c r="AP892" s="144"/>
      <c r="AQ892" s="144"/>
      <c r="AR892" s="144"/>
      <c r="AS892" s="144"/>
    </row>
    <row r="893">
      <c r="A893" s="144"/>
      <c r="B893" s="144"/>
      <c r="C893" s="144"/>
      <c r="D893" s="144"/>
      <c r="E893" s="144"/>
      <c r="F893" s="144"/>
      <c r="G893" s="144"/>
      <c r="H893" s="144"/>
      <c r="I893" s="144"/>
      <c r="J893" s="144"/>
      <c r="K893" s="144"/>
      <c r="L893" s="144"/>
      <c r="M893" s="144"/>
      <c r="N893" s="144"/>
      <c r="O893" s="144"/>
      <c r="P893" s="144"/>
      <c r="Q893" s="144"/>
      <c r="R893" s="144"/>
      <c r="S893" s="144"/>
      <c r="T893" s="144"/>
      <c r="U893" s="144"/>
      <c r="V893" s="144"/>
      <c r="W893" s="144"/>
      <c r="X893" s="144"/>
      <c r="Y893" s="144"/>
      <c r="Z893" s="144"/>
      <c r="AA893" s="144"/>
      <c r="AB893" s="144"/>
      <c r="AC893" s="144"/>
      <c r="AD893" s="144"/>
      <c r="AE893" s="144"/>
      <c r="AF893" s="144"/>
      <c r="AG893" s="144"/>
      <c r="AH893" s="144"/>
      <c r="AI893" s="144"/>
      <c r="AJ893" s="144"/>
      <c r="AK893" s="144"/>
      <c r="AL893" s="144"/>
      <c r="AM893" s="144"/>
      <c r="AN893" s="144"/>
      <c r="AO893" s="144"/>
      <c r="AP893" s="144"/>
      <c r="AQ893" s="144"/>
      <c r="AR893" s="144"/>
      <c r="AS893" s="144"/>
    </row>
    <row r="894">
      <c r="A894" s="144"/>
      <c r="B894" s="144"/>
      <c r="C894" s="144"/>
      <c r="D894" s="144"/>
      <c r="E894" s="144"/>
      <c r="F894" s="144"/>
      <c r="G894" s="144"/>
      <c r="H894" s="144"/>
      <c r="I894" s="144"/>
      <c r="J894" s="144"/>
      <c r="K894" s="144"/>
      <c r="L894" s="144"/>
      <c r="M894" s="144"/>
      <c r="N894" s="144"/>
      <c r="O894" s="144"/>
      <c r="P894" s="144"/>
      <c r="Q894" s="144"/>
      <c r="R894" s="144"/>
      <c r="S894" s="144"/>
      <c r="T894" s="144"/>
      <c r="U894" s="144"/>
      <c r="V894" s="144"/>
      <c r="W894" s="144"/>
      <c r="X894" s="144"/>
      <c r="Y894" s="144"/>
      <c r="Z894" s="144"/>
      <c r="AA894" s="144"/>
      <c r="AB894" s="144"/>
      <c r="AC894" s="144"/>
      <c r="AD894" s="144"/>
      <c r="AE894" s="144"/>
      <c r="AF894" s="144"/>
      <c r="AG894" s="144"/>
      <c r="AH894" s="144"/>
      <c r="AI894" s="144"/>
      <c r="AJ894" s="144"/>
      <c r="AK894" s="144"/>
      <c r="AL894" s="144"/>
      <c r="AM894" s="144"/>
      <c r="AN894" s="144"/>
      <c r="AO894" s="144"/>
      <c r="AP894" s="144"/>
      <c r="AQ894" s="144"/>
      <c r="AR894" s="144"/>
      <c r="AS894" s="144"/>
    </row>
    <row r="895">
      <c r="A895" s="144"/>
      <c r="B895" s="144"/>
      <c r="C895" s="144"/>
      <c r="D895" s="144"/>
      <c r="E895" s="144"/>
      <c r="F895" s="144"/>
      <c r="G895" s="144"/>
      <c r="H895" s="144"/>
      <c r="I895" s="144"/>
      <c r="J895" s="144"/>
      <c r="K895" s="144"/>
      <c r="L895" s="144"/>
      <c r="M895" s="144"/>
      <c r="N895" s="144"/>
      <c r="O895" s="144"/>
      <c r="P895" s="144"/>
      <c r="Q895" s="144"/>
      <c r="R895" s="144"/>
      <c r="S895" s="144"/>
      <c r="T895" s="144"/>
      <c r="U895" s="144"/>
      <c r="V895" s="144"/>
      <c r="W895" s="144"/>
      <c r="X895" s="144"/>
      <c r="Y895" s="144"/>
      <c r="Z895" s="144"/>
      <c r="AA895" s="144"/>
      <c r="AB895" s="144"/>
      <c r="AC895" s="144"/>
      <c r="AD895" s="144"/>
      <c r="AE895" s="144"/>
      <c r="AF895" s="144"/>
      <c r="AG895" s="144"/>
      <c r="AH895" s="144"/>
      <c r="AI895" s="144"/>
      <c r="AJ895" s="144"/>
      <c r="AK895" s="144"/>
      <c r="AL895" s="144"/>
      <c r="AM895" s="144"/>
      <c r="AN895" s="144"/>
      <c r="AO895" s="144"/>
      <c r="AP895" s="144"/>
      <c r="AQ895" s="144"/>
      <c r="AR895" s="144"/>
      <c r="AS895" s="144"/>
    </row>
    <row r="896">
      <c r="A896" s="144"/>
      <c r="B896" s="144"/>
      <c r="C896" s="144"/>
      <c r="D896" s="144"/>
      <c r="E896" s="144"/>
      <c r="F896" s="144"/>
      <c r="G896" s="144"/>
      <c r="H896" s="144"/>
      <c r="I896" s="144"/>
      <c r="J896" s="144"/>
      <c r="K896" s="144"/>
      <c r="L896" s="144"/>
      <c r="M896" s="144"/>
      <c r="N896" s="144"/>
      <c r="O896" s="144"/>
      <c r="P896" s="144"/>
      <c r="Q896" s="144"/>
      <c r="R896" s="144"/>
      <c r="S896" s="144"/>
      <c r="T896" s="144"/>
      <c r="U896" s="144"/>
      <c r="V896" s="144"/>
      <c r="W896" s="144"/>
      <c r="X896" s="144"/>
      <c r="Y896" s="144"/>
      <c r="Z896" s="144"/>
      <c r="AA896" s="144"/>
      <c r="AB896" s="144"/>
      <c r="AC896" s="144"/>
      <c r="AD896" s="144"/>
      <c r="AE896" s="144"/>
      <c r="AF896" s="144"/>
      <c r="AG896" s="144"/>
      <c r="AH896" s="144"/>
      <c r="AI896" s="144"/>
      <c r="AJ896" s="144"/>
      <c r="AK896" s="144"/>
      <c r="AL896" s="144"/>
      <c r="AM896" s="144"/>
      <c r="AN896" s="144"/>
      <c r="AO896" s="144"/>
      <c r="AP896" s="144"/>
      <c r="AQ896" s="144"/>
      <c r="AR896" s="144"/>
      <c r="AS896" s="144"/>
    </row>
    <row r="897">
      <c r="A897" s="144"/>
      <c r="B897" s="144"/>
      <c r="C897" s="144"/>
      <c r="D897" s="144"/>
      <c r="E897" s="144"/>
      <c r="F897" s="144"/>
      <c r="G897" s="144"/>
      <c r="H897" s="144"/>
      <c r="I897" s="144"/>
      <c r="J897" s="144"/>
      <c r="K897" s="144"/>
      <c r="L897" s="144"/>
      <c r="M897" s="144"/>
      <c r="N897" s="144"/>
      <c r="O897" s="144"/>
      <c r="P897" s="144"/>
      <c r="Q897" s="144"/>
      <c r="R897" s="144"/>
      <c r="S897" s="144"/>
      <c r="T897" s="144"/>
      <c r="U897" s="144"/>
      <c r="V897" s="144"/>
      <c r="W897" s="144"/>
      <c r="X897" s="144"/>
      <c r="Y897" s="144"/>
      <c r="Z897" s="144"/>
      <c r="AA897" s="144"/>
      <c r="AB897" s="144"/>
      <c r="AC897" s="144"/>
      <c r="AD897" s="144"/>
      <c r="AE897" s="144"/>
      <c r="AF897" s="144"/>
      <c r="AG897" s="144"/>
      <c r="AH897" s="144"/>
      <c r="AI897" s="144"/>
      <c r="AJ897" s="144"/>
      <c r="AK897" s="144"/>
      <c r="AL897" s="144"/>
      <c r="AM897" s="144"/>
      <c r="AN897" s="144"/>
      <c r="AO897" s="144"/>
      <c r="AP897" s="144"/>
      <c r="AQ897" s="144"/>
      <c r="AR897" s="144"/>
      <c r="AS897" s="144"/>
    </row>
  </sheetData>
  <mergeCells count="18">
    <mergeCell ref="A5:E6"/>
    <mergeCell ref="AO5:AS6"/>
    <mergeCell ref="F7:J8"/>
    <mergeCell ref="AJ7:AN8"/>
    <mergeCell ref="K11:O12"/>
    <mergeCell ref="AE11:AI12"/>
    <mergeCell ref="U15:Y16"/>
    <mergeCell ref="E86:G93"/>
    <mergeCell ref="E94:G101"/>
    <mergeCell ref="E102:G109"/>
    <mergeCell ref="E110:G117"/>
    <mergeCell ref="P19:T20"/>
    <mergeCell ref="Z19:AD20"/>
    <mergeCell ref="U24:Y25"/>
    <mergeCell ref="E54:G61"/>
    <mergeCell ref="E62:G69"/>
    <mergeCell ref="E70:G77"/>
    <mergeCell ref="E78:G8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Col="1"/>
  <cols>
    <col customWidth="1" min="2" max="2" width="9.38"/>
    <col customWidth="1" min="3" max="3" width="8.5"/>
    <col customWidth="1" min="4" max="4" width="6.75"/>
    <col customWidth="1" min="5" max="5" width="21.5"/>
    <col customWidth="1" min="6" max="6" width="15.88"/>
    <col customWidth="1" min="7" max="7" width="19.75"/>
    <col customWidth="1" min="8" max="8" width="24.25"/>
    <col customWidth="1" min="9" max="10" width="7.63"/>
  </cols>
  <sheetData>
    <row r="1">
      <c r="A1" s="2"/>
      <c r="B1" s="4"/>
      <c r="C1" s="4"/>
      <c r="D1" s="4"/>
      <c r="E1" s="4"/>
      <c r="F1" s="4"/>
      <c r="G1" s="4"/>
      <c r="H1" s="6"/>
      <c r="I1" s="6"/>
      <c r="J1" s="6"/>
      <c r="K1" s="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11"/>
      <c r="B2" s="14" t="str">
        <f>IFERROR(__xludf.DUMMYFUNCTION("importrange(""186BTcLZIRRmcGcU5S6nDdN41SUH8zUJ1gFEIezWrRnQ"",""'tandem points'!B2:K66"")"),"Stage position")</f>
        <v>Stage position</v>
      </c>
      <c r="C2" s="14" t="str">
        <f>IFERROR(__xludf.DUMMYFUNCTION("""COMPUTED_VALUE"""),"Quali pos.")</f>
        <v>Quali pos.</v>
      </c>
      <c r="D2" s="14" t="str">
        <f>IFERROR(__xludf.DUMMYFUNCTION("""COMPUTED_VALUE"""),"Auto nr.")</f>
        <v>Auto nr.</v>
      </c>
      <c r="E2" s="14" t="str">
        <f>IFERROR(__xludf.DUMMYFUNCTION("""COMPUTED_VALUE"""),"Name")</f>
        <v>Name</v>
      </c>
      <c r="F2" s="17" t="str">
        <f>IFERROR(__xludf.DUMMYFUNCTION("""COMPUTED_VALUE"""),"Country")</f>
        <v>Country</v>
      </c>
      <c r="G2" s="14" t="str">
        <f>IFERROR(__xludf.DUMMYFUNCTION("""COMPUTED_VALUE"""),"Car")</f>
        <v>Car</v>
      </c>
      <c r="H2" s="20" t="str">
        <f>IFERROR(__xludf.DUMMYFUNCTION("""COMPUTED_VALUE"""),"Team")</f>
        <v>Team</v>
      </c>
      <c r="I2" s="20" t="str">
        <f>IFERROR(__xludf.DUMMYFUNCTION("""COMPUTED_VALUE"""),"Tandem points")</f>
        <v>Tandem points</v>
      </c>
      <c r="J2" s="20" t="str">
        <f>IFERROR(__xludf.DUMMYFUNCTION("""COMPUTED_VALUE"""),"Quali points")</f>
        <v>Quali points</v>
      </c>
      <c r="K2" s="23" t="str">
        <f>IFERROR(__xludf.DUMMYFUNCTION("""COMPUTED_VALUE"""),"Stage points")</f>
        <v>Stage points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>
      <c r="A3" s="2"/>
      <c r="B3" s="27">
        <f>IFERROR(__xludf.DUMMYFUNCTION("""COMPUTED_VALUE"""),1.0)</f>
        <v>1</v>
      </c>
      <c r="C3" s="27">
        <f>IFERROR(__xludf.DUMMYFUNCTION("""COMPUTED_VALUE"""),5.0)</f>
        <v>5</v>
      </c>
      <c r="D3" s="27">
        <f>IFERROR(__xludf.DUMMYFUNCTION("""COMPUTED_VALUE"""),410.0)</f>
        <v>410</v>
      </c>
      <c r="E3" s="27" t="str">
        <f>IFERROR(__xludf.DUMMYFUNCTION("""COMPUTED_VALUE"""),"Chase Cronin")</f>
        <v>Chase Cronin</v>
      </c>
      <c r="F3" s="27" t="str">
        <f>IFERROR(__xludf.DUMMYFUNCTION("""COMPUTED_VALUE"""),"United States")</f>
        <v>United States</v>
      </c>
      <c r="G3" s="27" t="str">
        <f>IFERROR(__xludf.DUMMYFUNCTION("""COMPUTED_VALUE"""),"BMW E46")</f>
        <v>BMW E46</v>
      </c>
      <c r="H3" s="33" t="str">
        <f>IFERROR(__xludf.DUMMYFUNCTION("""COMPUTED_VALUE"""),"Kaiju")</f>
        <v>Kaiju</v>
      </c>
      <c r="I3" s="33">
        <f>IFERROR(__xludf.DUMMYFUNCTION("""COMPUTED_VALUE"""),100.0)</f>
        <v>100</v>
      </c>
      <c r="J3" s="33">
        <f>IFERROR(__xludf.DUMMYFUNCTION("""COMPUTED_VALUE"""),4.0)</f>
        <v>4</v>
      </c>
      <c r="K3" s="33">
        <f>IFERROR(__xludf.DUMMYFUNCTION("""COMPUTED_VALUE"""),104.0)</f>
        <v>104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2"/>
      <c r="B4" s="27">
        <f>IFERROR(__xludf.DUMMYFUNCTION("""COMPUTED_VALUE"""),2.0)</f>
        <v>2</v>
      </c>
      <c r="C4" s="27">
        <f>IFERROR(__xludf.DUMMYFUNCTION("""COMPUTED_VALUE"""),6.0)</f>
        <v>6</v>
      </c>
      <c r="D4" s="27">
        <f>IFERROR(__xludf.DUMMYFUNCTION("""COMPUTED_VALUE"""),41.0)</f>
        <v>41</v>
      </c>
      <c r="E4" s="27" t="str">
        <f>IFERROR(__xludf.DUMMYFUNCTION("""COMPUTED_VALUE"""),"Armands Vestmanis")</f>
        <v>Armands Vestmanis</v>
      </c>
      <c r="F4" s="27" t="str">
        <f>IFERROR(__xludf.DUMMYFUNCTION("""COMPUTED_VALUE"""),"Latvia")</f>
        <v>Latvia</v>
      </c>
      <c r="G4" s="27" t="str">
        <f>IFERROR(__xludf.DUMMYFUNCTION("""COMPUTED_VALUE"""),"BMW E36")</f>
        <v>BMW E36</v>
      </c>
      <c r="H4" s="33" t="str">
        <f>IFERROR(__xludf.DUMMYFUNCTION("""COMPUTED_VALUE"""),"RTRiga")</f>
        <v>RTRiga</v>
      </c>
      <c r="I4" s="33">
        <f>IFERROR(__xludf.DUMMYFUNCTION("""COMPUTED_VALUE"""),88.0)</f>
        <v>88</v>
      </c>
      <c r="J4" s="33">
        <f>IFERROR(__xludf.DUMMYFUNCTION("""COMPUTED_VALUE"""),4.0)</f>
        <v>4</v>
      </c>
      <c r="K4" s="33">
        <f>IFERROR(__xludf.DUMMYFUNCTION("""COMPUTED_VALUE"""),92.0)</f>
        <v>92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2"/>
      <c r="B5" s="27">
        <f>IFERROR(__xludf.DUMMYFUNCTION("""COMPUTED_VALUE"""),3.0)</f>
        <v>3</v>
      </c>
      <c r="C5" s="27">
        <f>IFERROR(__xludf.DUMMYFUNCTION("""COMPUTED_VALUE"""),1.0)</f>
        <v>1</v>
      </c>
      <c r="D5" s="27">
        <f>IFERROR(__xludf.DUMMYFUNCTION("""COMPUTED_VALUE"""),895.0)</f>
        <v>895</v>
      </c>
      <c r="E5" s="27" t="str">
        <f>IFERROR(__xludf.DUMMYFUNCTION("""COMPUTED_VALUE"""),"Siim Voort")</f>
        <v>Siim Voort</v>
      </c>
      <c r="F5" s="27" t="str">
        <f>IFERROR(__xludf.DUMMYFUNCTION("""COMPUTED_VALUE"""),"Estonia")</f>
        <v>Estonia</v>
      </c>
      <c r="G5" s="27" t="str">
        <f>IFERROR(__xludf.DUMMYFUNCTION("""COMPUTED_VALUE"""),"BMW E36")</f>
        <v>BMW E36</v>
      </c>
      <c r="H5" s="33"/>
      <c r="I5" s="33">
        <f>IFERROR(__xludf.DUMMYFUNCTION("""COMPUTED_VALUE"""),78.0)</f>
        <v>78</v>
      </c>
      <c r="J5" s="33">
        <f>IFERROR(__xludf.DUMMYFUNCTION("""COMPUTED_VALUE"""),12.0)</f>
        <v>12</v>
      </c>
      <c r="K5" s="33">
        <f>IFERROR(__xludf.DUMMYFUNCTION("""COMPUTED_VALUE"""),90.0)</f>
        <v>90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2"/>
      <c r="B6" s="27">
        <f>IFERROR(__xludf.DUMMYFUNCTION("""COMPUTED_VALUE"""),4.0)</f>
        <v>4</v>
      </c>
      <c r="C6" s="27">
        <f>IFERROR(__xludf.DUMMYFUNCTION("""COMPUTED_VALUE"""),31.0)</f>
        <v>31</v>
      </c>
      <c r="D6" s="27">
        <f>IFERROR(__xludf.DUMMYFUNCTION("""COMPUTED_VALUE"""),9.0)</f>
        <v>9</v>
      </c>
      <c r="E6" s="27" t="str">
        <f>IFERROR(__xludf.DUMMYFUNCTION("""COMPUTED_VALUE"""),"Benas Jonutis")</f>
        <v>Benas Jonutis</v>
      </c>
      <c r="F6" s="27" t="str">
        <f>IFERROR(__xludf.DUMMYFUNCTION("""COMPUTED_VALUE"""),"Lithuania")</f>
        <v>Lithuania</v>
      </c>
      <c r="G6" s="27" t="str">
        <f>IFERROR(__xludf.DUMMYFUNCTION("""COMPUTED_VALUE"""),"BMW E36")</f>
        <v>BMW E36</v>
      </c>
      <c r="H6" s="33" t="str">
        <f>IFERROR(__xludf.DUMMYFUNCTION("""COMPUTED_VALUE"""),"niekotokio")</f>
        <v>niekotokio</v>
      </c>
      <c r="I6" s="33">
        <f>IFERROR(__xludf.DUMMYFUNCTION("""COMPUTED_VALUE"""),69.0)</f>
        <v>69</v>
      </c>
      <c r="J6" s="33">
        <f>IFERROR(__xludf.DUMMYFUNCTION("""COMPUTED_VALUE"""),0.25)</f>
        <v>0.25</v>
      </c>
      <c r="K6" s="33">
        <f>IFERROR(__xludf.DUMMYFUNCTION("""COMPUTED_VALUE"""),69.25)</f>
        <v>69.25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7">
        <f>IFERROR(__xludf.DUMMYFUNCTION("""COMPUTED_VALUE"""),5.0)</f>
        <v>5</v>
      </c>
      <c r="C7" s="27">
        <f>IFERROR(__xludf.DUMMYFUNCTION("""COMPUTED_VALUE"""),8.0)</f>
        <v>8</v>
      </c>
      <c r="D7" s="27">
        <f>IFERROR(__xludf.DUMMYFUNCTION("""COMPUTED_VALUE"""),401.0)</f>
        <v>401</v>
      </c>
      <c r="E7" s="27" t="str">
        <f>IFERROR(__xludf.DUMMYFUNCTION("""COMPUTED_VALUE"""),"Artur Kula")</f>
        <v>Artur Kula</v>
      </c>
      <c r="F7" s="27" t="str">
        <f>IFERROR(__xludf.DUMMYFUNCTION("""COMPUTED_VALUE"""),"Poland")</f>
        <v>Poland</v>
      </c>
      <c r="G7" s="27" t="str">
        <f>IFERROR(__xludf.DUMMYFUNCTION("""COMPUTED_VALUE"""),"BMW E36")</f>
        <v>BMW E36</v>
      </c>
      <c r="H7" s="33" t="str">
        <f>IFERROR(__xludf.DUMMYFUNCTION("""COMPUTED_VALUE"""),"Griptone")</f>
        <v>Griptone</v>
      </c>
      <c r="I7" s="33">
        <f>IFERROR(__xludf.DUMMYFUNCTION("""COMPUTED_VALUE"""),61.0)</f>
        <v>61</v>
      </c>
      <c r="J7" s="33">
        <f>IFERROR(__xludf.DUMMYFUNCTION("""COMPUTED_VALUE"""),3.0)</f>
        <v>3</v>
      </c>
      <c r="K7" s="33">
        <f>IFERROR(__xludf.DUMMYFUNCTION("""COMPUTED_VALUE"""),64.0)</f>
        <v>64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/>
      <c r="B8" s="27">
        <f>IFERROR(__xludf.DUMMYFUNCTION("""COMPUTED_VALUE"""),6.0)</f>
        <v>6</v>
      </c>
      <c r="C8" s="27">
        <f>IFERROR(__xludf.DUMMYFUNCTION("""COMPUTED_VALUE"""),13.0)</f>
        <v>13</v>
      </c>
      <c r="D8" s="27">
        <f>IFERROR(__xludf.DUMMYFUNCTION("""COMPUTED_VALUE"""),686.0)</f>
        <v>686</v>
      </c>
      <c r="E8" s="27" t="str">
        <f>IFERROR(__xludf.DUMMYFUNCTION("""COMPUTED_VALUE"""),"Luis Treviño")</f>
        <v>Luis Treviño</v>
      </c>
      <c r="F8" s="27" t="str">
        <f>IFERROR(__xludf.DUMMYFUNCTION("""COMPUTED_VALUE"""),"Spain")</f>
        <v>Spain</v>
      </c>
      <c r="G8" s="27" t="str">
        <f>IFERROR(__xludf.DUMMYFUNCTION("""COMPUTED_VALUE"""),"BMW E36")</f>
        <v>BMW E36</v>
      </c>
      <c r="H8" s="33" t="str">
        <f>IFERROR(__xludf.DUMMYFUNCTION("""COMPUTED_VALUE"""),"Eskuko Black")</f>
        <v>Eskuko Black</v>
      </c>
      <c r="I8" s="33">
        <f>IFERROR(__xludf.DUMMYFUNCTION("""COMPUTED_VALUE"""),61.0)</f>
        <v>61</v>
      </c>
      <c r="J8" s="33">
        <f>IFERROR(__xludf.DUMMYFUNCTION("""COMPUTED_VALUE"""),1.0)</f>
        <v>1</v>
      </c>
      <c r="K8" s="33">
        <f>IFERROR(__xludf.DUMMYFUNCTION("""COMPUTED_VALUE"""),62.0)</f>
        <v>62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/>
      <c r="B9" s="27">
        <f>IFERROR(__xludf.DUMMYFUNCTION("""COMPUTED_VALUE"""),7.0)</f>
        <v>7</v>
      </c>
      <c r="C9" s="27">
        <f>IFERROR(__xludf.DUMMYFUNCTION("""COMPUTED_VALUE"""),19.0)</f>
        <v>19</v>
      </c>
      <c r="D9" s="27">
        <f>IFERROR(__xludf.DUMMYFUNCTION("""COMPUTED_VALUE"""),99.0)</f>
        <v>99</v>
      </c>
      <c r="E9" s="27" t="str">
        <f>IFERROR(__xludf.DUMMYFUNCTION("""COMPUTED_VALUE"""),"Oihan Polo")</f>
        <v>Oihan Polo</v>
      </c>
      <c r="F9" s="27" t="str">
        <f>IFERROR(__xludf.DUMMYFUNCTION("""COMPUTED_VALUE"""),"Spain")</f>
        <v>Spain</v>
      </c>
      <c r="G9" s="27" t="str">
        <f>IFERROR(__xludf.DUMMYFUNCTION("""COMPUTED_VALUE"""),"BMW E36")</f>
        <v>BMW E36</v>
      </c>
      <c r="H9" s="33" t="str">
        <f>IFERROR(__xludf.DUMMYFUNCTION("""COMPUTED_VALUE"""),"Eskuko Black")</f>
        <v>Eskuko Black</v>
      </c>
      <c r="I9" s="33">
        <f>IFERROR(__xludf.DUMMYFUNCTION("""COMPUTED_VALUE"""),61.0)</f>
        <v>61</v>
      </c>
      <c r="J9" s="33">
        <f>IFERROR(__xludf.DUMMYFUNCTION("""COMPUTED_VALUE"""),0.5)</f>
        <v>0.5</v>
      </c>
      <c r="K9" s="33">
        <f>IFERROR(__xludf.DUMMYFUNCTION("""COMPUTED_VALUE"""),61.5)</f>
        <v>61.5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/>
      <c r="B10" s="27">
        <f>IFERROR(__xludf.DUMMYFUNCTION("""COMPUTED_VALUE"""),8.0)</f>
        <v>8</v>
      </c>
      <c r="C10" s="27">
        <f>IFERROR(__xludf.DUMMYFUNCTION("""COMPUTED_VALUE"""),26.0)</f>
        <v>26</v>
      </c>
      <c r="D10" s="27">
        <f>IFERROR(__xludf.DUMMYFUNCTION("""COMPUTED_VALUE"""),78.0)</f>
        <v>78</v>
      </c>
      <c r="E10" s="27" t="str">
        <f>IFERROR(__xludf.DUMMYFUNCTION("""COMPUTED_VALUE"""),"William Diaz-Santiago")</f>
        <v>William Diaz-Santiago</v>
      </c>
      <c r="F10" s="27" t="str">
        <f>IFERROR(__xludf.DUMMYFUNCTION("""COMPUTED_VALUE"""),"United States")</f>
        <v>United States</v>
      </c>
      <c r="G10" s="27" t="str">
        <f>IFERROR(__xludf.DUMMYFUNCTION("""COMPUTED_VALUE"""),"BMW E46")</f>
        <v>BMW E46</v>
      </c>
      <c r="H10" s="33" t="str">
        <f>IFERROR(__xludf.DUMMYFUNCTION("""COMPUTED_VALUE"""),"Evolution of Drift")</f>
        <v>Evolution of Drift</v>
      </c>
      <c r="I10" s="33">
        <f>IFERROR(__xludf.DUMMYFUNCTION("""COMPUTED_VALUE"""),61.0)</f>
        <v>61</v>
      </c>
      <c r="J10" s="33">
        <f>IFERROR(__xludf.DUMMYFUNCTION("""COMPUTED_VALUE"""),0.25)</f>
        <v>0.25</v>
      </c>
      <c r="K10" s="33">
        <f>IFERROR(__xludf.DUMMYFUNCTION("""COMPUTED_VALUE"""),61.25)</f>
        <v>61.25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/>
      <c r="B11" s="27">
        <f>IFERROR(__xludf.DUMMYFUNCTION("""COMPUTED_VALUE"""),9.0)</f>
        <v>9</v>
      </c>
      <c r="C11" s="27">
        <f>IFERROR(__xludf.DUMMYFUNCTION("""COMPUTED_VALUE"""),3.0)</f>
        <v>3</v>
      </c>
      <c r="D11" s="27">
        <f>IFERROR(__xludf.DUMMYFUNCTION("""COMPUTED_VALUE"""),211.0)</f>
        <v>211</v>
      </c>
      <c r="E11" s="27" t="str">
        <f>IFERROR(__xludf.DUMMYFUNCTION("""COMPUTED_VALUE"""),"David Laczko")</f>
        <v>David Laczko</v>
      </c>
      <c r="F11" s="27" t="str">
        <f>IFERROR(__xludf.DUMMYFUNCTION("""COMPUTED_VALUE"""),"Romania")</f>
        <v>Romania</v>
      </c>
      <c r="G11" s="27" t="str">
        <f>IFERROR(__xludf.DUMMYFUNCTION("""COMPUTED_VALUE"""),"BMW E46")</f>
        <v>BMW E46</v>
      </c>
      <c r="H11" s="33" t="str">
        <f>IFERROR(__xludf.DUMMYFUNCTION("""COMPUTED_VALUE"""),"Hashira")</f>
        <v>Hashira</v>
      </c>
      <c r="I11" s="33">
        <f>IFERROR(__xludf.DUMMYFUNCTION("""COMPUTED_VALUE"""),54.0)</f>
        <v>54</v>
      </c>
      <c r="J11" s="33">
        <f>IFERROR(__xludf.DUMMYFUNCTION("""COMPUTED_VALUE"""),8.0)</f>
        <v>8</v>
      </c>
      <c r="K11" s="33">
        <f>IFERROR(__xludf.DUMMYFUNCTION("""COMPUTED_VALUE"""),62.0)</f>
        <v>62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/>
      <c r="B12" s="27">
        <f>IFERROR(__xludf.DUMMYFUNCTION("""COMPUTED_VALUE"""),10.0)</f>
        <v>10</v>
      </c>
      <c r="C12" s="27">
        <f>IFERROR(__xludf.DUMMYFUNCTION("""COMPUTED_VALUE"""),4.0)</f>
        <v>4</v>
      </c>
      <c r="D12" s="27">
        <f>IFERROR(__xludf.DUMMYFUNCTION("""COMPUTED_VALUE"""),66.0)</f>
        <v>66</v>
      </c>
      <c r="E12" s="27" t="str">
        <f>IFERROR(__xludf.DUMMYFUNCTION("""COMPUTED_VALUE"""),"Juanan Jorques")</f>
        <v>Juanan Jorques</v>
      </c>
      <c r="F12" s="27" t="str">
        <f>IFERROR(__xludf.DUMMYFUNCTION("""COMPUTED_VALUE"""),"Spain")</f>
        <v>Spain</v>
      </c>
      <c r="G12" s="27" t="str">
        <f>IFERROR(__xludf.DUMMYFUNCTION("""COMPUTED_VALUE"""),"BMW E46")</f>
        <v>BMW E46</v>
      </c>
      <c r="H12" s="33" t="str">
        <f>IFERROR(__xludf.DUMMYFUNCTION("""COMPUTED_VALUE"""),"Eskuko Black")</f>
        <v>Eskuko Black</v>
      </c>
      <c r="I12" s="33">
        <f>IFERROR(__xludf.DUMMYFUNCTION("""COMPUTED_VALUE"""),54.0)</f>
        <v>54</v>
      </c>
      <c r="J12" s="33">
        <f>IFERROR(__xludf.DUMMYFUNCTION("""COMPUTED_VALUE"""),6.0)</f>
        <v>6</v>
      </c>
      <c r="K12" s="33">
        <f>IFERROR(__xludf.DUMMYFUNCTION("""COMPUTED_VALUE"""),60.0)</f>
        <v>60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/>
      <c r="B13" s="27">
        <f>IFERROR(__xludf.DUMMYFUNCTION("""COMPUTED_VALUE"""),11.0)</f>
        <v>11</v>
      </c>
      <c r="C13" s="27">
        <f>IFERROR(__xludf.DUMMYFUNCTION("""COMPUTED_VALUE"""),9.0)</f>
        <v>9</v>
      </c>
      <c r="D13" s="27">
        <f>IFERROR(__xludf.DUMMYFUNCTION("""COMPUTED_VALUE"""),18.0)</f>
        <v>18</v>
      </c>
      <c r="E13" s="27" t="str">
        <f>IFERROR(__xludf.DUMMYFUNCTION("""COMPUTED_VALUE"""),"Matīss Lācis")</f>
        <v>Matīss Lācis</v>
      </c>
      <c r="F13" s="27" t="str">
        <f>IFERROR(__xludf.DUMMYFUNCTION("""COMPUTED_VALUE"""),"Latvia")</f>
        <v>Latvia</v>
      </c>
      <c r="G13" s="27" t="str">
        <f>IFERROR(__xludf.DUMMYFUNCTION("""COMPUTED_VALUE"""),"BMW E46")</f>
        <v>BMW E46</v>
      </c>
      <c r="H13" s="33" t="str">
        <f>IFERROR(__xludf.DUMMYFUNCTION("""COMPUTED_VALUE"""),"RTRiga")</f>
        <v>RTRiga</v>
      </c>
      <c r="I13" s="33">
        <f>IFERROR(__xludf.DUMMYFUNCTION("""COMPUTED_VALUE"""),54.0)</f>
        <v>54</v>
      </c>
      <c r="J13" s="33">
        <f>IFERROR(__xludf.DUMMYFUNCTION("""COMPUTED_VALUE"""),2.0)</f>
        <v>2</v>
      </c>
      <c r="K13" s="33">
        <f>IFERROR(__xludf.DUMMYFUNCTION("""COMPUTED_VALUE"""),56.0)</f>
        <v>56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/>
      <c r="B14" s="27">
        <f>IFERROR(__xludf.DUMMYFUNCTION("""COMPUTED_VALUE"""),12.0)</f>
        <v>12</v>
      </c>
      <c r="C14" s="27">
        <f>IFERROR(__xludf.DUMMYFUNCTION("""COMPUTED_VALUE"""),11.0)</f>
        <v>11</v>
      </c>
      <c r="D14" s="27">
        <f>IFERROR(__xludf.DUMMYFUNCTION("""COMPUTED_VALUE"""),412.0)</f>
        <v>412</v>
      </c>
      <c r="E14" s="27" t="str">
        <f>IFERROR(__xludf.DUMMYFUNCTION("""COMPUTED_VALUE"""),"Owen Ellis")</f>
        <v>Owen Ellis</v>
      </c>
      <c r="F14" s="27" t="str">
        <f>IFERROR(__xludf.DUMMYFUNCTION("""COMPUTED_VALUE"""),"United States")</f>
        <v>United States</v>
      </c>
      <c r="G14" s="27" t="str">
        <f>IFERROR(__xludf.DUMMYFUNCTION("""COMPUTED_VALUE"""),"BMW E46")</f>
        <v>BMW E46</v>
      </c>
      <c r="H14" s="33" t="str">
        <f>IFERROR(__xludf.DUMMYFUNCTION("""COMPUTED_VALUE"""),"Kaiju")</f>
        <v>Kaiju</v>
      </c>
      <c r="I14" s="33">
        <f>IFERROR(__xludf.DUMMYFUNCTION("""COMPUTED_VALUE"""),54.0)</f>
        <v>54</v>
      </c>
      <c r="J14" s="33">
        <f>IFERROR(__xludf.DUMMYFUNCTION("""COMPUTED_VALUE"""),2.0)</f>
        <v>2</v>
      </c>
      <c r="K14" s="33">
        <f>IFERROR(__xludf.DUMMYFUNCTION("""COMPUTED_VALUE"""),56.0)</f>
        <v>56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/>
      <c r="B15" s="27">
        <f>IFERROR(__xludf.DUMMYFUNCTION("""COMPUTED_VALUE"""),13.0)</f>
        <v>13</v>
      </c>
      <c r="C15" s="27">
        <f>IFERROR(__xludf.DUMMYFUNCTION("""COMPUTED_VALUE"""),12.0)</f>
        <v>12</v>
      </c>
      <c r="D15" s="27">
        <f>IFERROR(__xludf.DUMMYFUNCTION("""COMPUTED_VALUE"""),314.0)</f>
        <v>314</v>
      </c>
      <c r="E15" s="27" t="str">
        <f>IFERROR(__xludf.DUMMYFUNCTION("""COMPUTED_VALUE"""),"Adrian Roncero")</f>
        <v>Adrian Roncero</v>
      </c>
      <c r="F15" s="27" t="str">
        <f>IFERROR(__xludf.DUMMYFUNCTION("""COMPUTED_VALUE"""),"Spain")</f>
        <v>Spain</v>
      </c>
      <c r="G15" s="27" t="str">
        <f>IFERROR(__xludf.DUMMYFUNCTION("""COMPUTED_VALUE"""),"BMW E36")</f>
        <v>BMW E36</v>
      </c>
      <c r="H15" s="33"/>
      <c r="I15" s="33">
        <f>IFERROR(__xludf.DUMMYFUNCTION("""COMPUTED_VALUE"""),54.0)</f>
        <v>54</v>
      </c>
      <c r="J15" s="33">
        <f>IFERROR(__xludf.DUMMYFUNCTION("""COMPUTED_VALUE"""),2.0)</f>
        <v>2</v>
      </c>
      <c r="K15" s="33">
        <f>IFERROR(__xludf.DUMMYFUNCTION("""COMPUTED_VALUE"""),56.0)</f>
        <v>56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7">
        <f>IFERROR(__xludf.DUMMYFUNCTION("""COMPUTED_VALUE"""),14.0)</f>
        <v>14</v>
      </c>
      <c r="C16" s="27">
        <f>IFERROR(__xludf.DUMMYFUNCTION("""COMPUTED_VALUE"""),16.0)</f>
        <v>16</v>
      </c>
      <c r="D16" s="27">
        <f>IFERROR(__xludf.DUMMYFUNCTION("""COMPUTED_VALUE"""),111.0)</f>
        <v>111</v>
      </c>
      <c r="E16" s="27" t="str">
        <f>IFERROR(__xludf.DUMMYFUNCTION("""COMPUTED_VALUE"""),"Zydrunas Petkevicius")</f>
        <v>Zydrunas Petkevicius</v>
      </c>
      <c r="F16" s="27" t="str">
        <f>IFERROR(__xludf.DUMMYFUNCTION("""COMPUTED_VALUE"""),"Norway")</f>
        <v>Norway</v>
      </c>
      <c r="G16" s="27" t="str">
        <f>IFERROR(__xludf.DUMMYFUNCTION("""COMPUTED_VALUE"""),"BMW E36")</f>
        <v>BMW E36</v>
      </c>
      <c r="H16" s="33" t="str">
        <f>IFERROR(__xludf.DUMMYFUNCTION("""COMPUTED_VALUE"""),"NDC")</f>
        <v>NDC</v>
      </c>
      <c r="I16" s="33">
        <f>IFERROR(__xludf.DUMMYFUNCTION("""COMPUTED_VALUE"""),54.0)</f>
        <v>54</v>
      </c>
      <c r="J16" s="33">
        <f>IFERROR(__xludf.DUMMYFUNCTION("""COMPUTED_VALUE"""),1.0)</f>
        <v>1</v>
      </c>
      <c r="K16" s="33">
        <f>IFERROR(__xludf.DUMMYFUNCTION("""COMPUTED_VALUE"""),55.0)</f>
        <v>55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7">
        <f>IFERROR(__xludf.DUMMYFUNCTION("""COMPUTED_VALUE"""),15.0)</f>
        <v>15</v>
      </c>
      <c r="C17" s="27">
        <f>IFERROR(__xludf.DUMMYFUNCTION("""COMPUTED_VALUE"""),18.0)</f>
        <v>18</v>
      </c>
      <c r="D17" s="27">
        <f>IFERROR(__xludf.DUMMYFUNCTION("""COMPUTED_VALUE"""),444.0)</f>
        <v>444</v>
      </c>
      <c r="E17" s="27" t="str">
        <f>IFERROR(__xludf.DUMMYFUNCTION("""COMPUTED_VALUE"""),"Wojciech Denis")</f>
        <v>Wojciech Denis</v>
      </c>
      <c r="F17" s="27" t="str">
        <f>IFERROR(__xludf.DUMMYFUNCTION("""COMPUTED_VALUE"""),"Poland")</f>
        <v>Poland</v>
      </c>
      <c r="G17" s="27" t="str">
        <f>IFERROR(__xludf.DUMMYFUNCTION("""COMPUTED_VALUE"""),"BMW E36")</f>
        <v>BMW E36</v>
      </c>
      <c r="H17" s="33" t="str">
        <f>IFERROR(__xludf.DUMMYFUNCTION("""COMPUTED_VALUE"""),"Team Delta Infinite")</f>
        <v>Team Delta Infinite</v>
      </c>
      <c r="I17" s="33">
        <f>IFERROR(__xludf.DUMMYFUNCTION("""COMPUTED_VALUE"""),54.0)</f>
        <v>54</v>
      </c>
      <c r="J17" s="33">
        <f>IFERROR(__xludf.DUMMYFUNCTION("""COMPUTED_VALUE"""),0.5)</f>
        <v>0.5</v>
      </c>
      <c r="K17" s="33">
        <f>IFERROR(__xludf.DUMMYFUNCTION("""COMPUTED_VALUE"""),54.5)</f>
        <v>54.5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7">
        <f>IFERROR(__xludf.DUMMYFUNCTION("""COMPUTED_VALUE"""),16.0)</f>
        <v>16</v>
      </c>
      <c r="C18" s="27">
        <f>IFERROR(__xludf.DUMMYFUNCTION("""COMPUTED_VALUE"""),23.0)</f>
        <v>23</v>
      </c>
      <c r="D18" s="27">
        <f>IFERROR(__xludf.DUMMYFUNCTION("""COMPUTED_VALUE"""),222.0)</f>
        <v>222</v>
      </c>
      <c r="E18" s="27" t="str">
        <f>IFERROR(__xludf.DUMMYFUNCTION("""COMPUTED_VALUE"""),"Edvinas Murauskas")</f>
        <v>Edvinas Murauskas</v>
      </c>
      <c r="F18" s="27" t="str">
        <f>IFERROR(__xludf.DUMMYFUNCTION("""COMPUTED_VALUE"""),"Lithuania")</f>
        <v>Lithuania</v>
      </c>
      <c r="G18" s="27" t="str">
        <f>IFERROR(__xludf.DUMMYFUNCTION("""COMPUTED_VALUE"""),"BMW E46")</f>
        <v>BMW E46</v>
      </c>
      <c r="H18" s="33" t="str">
        <f>IFERROR(__xludf.DUMMYFUNCTION("""COMPUTED_VALUE"""),"Lock 2 lock (l2l)")</f>
        <v>Lock 2 lock (l2l)</v>
      </c>
      <c r="I18" s="33">
        <f>IFERROR(__xludf.DUMMYFUNCTION("""COMPUTED_VALUE"""),54.0)</f>
        <v>54</v>
      </c>
      <c r="J18" s="33">
        <f>IFERROR(__xludf.DUMMYFUNCTION("""COMPUTED_VALUE"""),0.5)</f>
        <v>0.5</v>
      </c>
      <c r="K18" s="33">
        <f>IFERROR(__xludf.DUMMYFUNCTION("""COMPUTED_VALUE"""),54.5)</f>
        <v>54.5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7">
        <f>IFERROR(__xludf.DUMMYFUNCTION("""COMPUTED_VALUE"""),17.0)</f>
        <v>17</v>
      </c>
      <c r="C19" s="27">
        <f>IFERROR(__xludf.DUMMYFUNCTION("""COMPUTED_VALUE"""),2.0)</f>
        <v>2</v>
      </c>
      <c r="D19" s="27">
        <f>IFERROR(__xludf.DUMMYFUNCTION("""COMPUTED_VALUE"""),26.0)</f>
        <v>26</v>
      </c>
      <c r="E19" s="27" t="str">
        <f>IFERROR(__xludf.DUMMYFUNCTION("""COMPUTED_VALUE"""),"Iban Torreblanca")</f>
        <v>Iban Torreblanca</v>
      </c>
      <c r="F19" s="27" t="str">
        <f>IFERROR(__xludf.DUMMYFUNCTION("""COMPUTED_VALUE"""),"Spain")</f>
        <v>Spain</v>
      </c>
      <c r="G19" s="27" t="str">
        <f>IFERROR(__xludf.DUMMYFUNCTION("""COMPUTED_VALUE"""),"BMW E36")</f>
        <v>BMW E36</v>
      </c>
      <c r="H19" s="33" t="str">
        <f>IFERROR(__xludf.DUMMYFUNCTION("""COMPUTED_VALUE"""),"ESKUKO black")</f>
        <v>ESKUKO black</v>
      </c>
      <c r="I19" s="33">
        <f>IFERROR(__xludf.DUMMYFUNCTION("""COMPUTED_VALUE"""),24.0)</f>
        <v>24</v>
      </c>
      <c r="J19" s="33">
        <f>IFERROR(__xludf.DUMMYFUNCTION("""COMPUTED_VALUE"""),10.0)</f>
        <v>10</v>
      </c>
      <c r="K19" s="33">
        <f>IFERROR(__xludf.DUMMYFUNCTION("""COMPUTED_VALUE"""),34.0)</f>
        <v>34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7">
        <f>IFERROR(__xludf.DUMMYFUNCTION("""COMPUTED_VALUE"""),18.0)</f>
        <v>18</v>
      </c>
      <c r="C20" s="27">
        <f>IFERROR(__xludf.DUMMYFUNCTION("""COMPUTED_VALUE"""),7.0)</f>
        <v>7</v>
      </c>
      <c r="D20" s="27">
        <f>IFERROR(__xludf.DUMMYFUNCTION("""COMPUTED_VALUE"""),336.0)</f>
        <v>336</v>
      </c>
      <c r="E20" s="27" t="str">
        <f>IFERROR(__xludf.DUMMYFUNCTION("""COMPUTED_VALUE"""),"Darius Ostreika")</f>
        <v>Darius Ostreika</v>
      </c>
      <c r="F20" s="27" t="str">
        <f>IFERROR(__xludf.DUMMYFUNCTION("""COMPUTED_VALUE"""),"Lithuania")</f>
        <v>Lithuania</v>
      </c>
      <c r="G20" s="27" t="str">
        <f>IFERROR(__xludf.DUMMYFUNCTION("""COMPUTED_VALUE"""),"BMW E36")</f>
        <v>BMW E36</v>
      </c>
      <c r="H20" s="33" t="str">
        <f>IFERROR(__xludf.DUMMYFUNCTION("""COMPUTED_VALUE"""),"RTW")</f>
        <v>RTW</v>
      </c>
      <c r="I20" s="33">
        <f>IFERROR(__xludf.DUMMYFUNCTION("""COMPUTED_VALUE"""),24.0)</f>
        <v>24</v>
      </c>
      <c r="J20" s="33">
        <f>IFERROR(__xludf.DUMMYFUNCTION("""COMPUTED_VALUE"""),3.0)</f>
        <v>3</v>
      </c>
      <c r="K20" s="33">
        <f>IFERROR(__xludf.DUMMYFUNCTION("""COMPUTED_VALUE"""),27.0)</f>
        <v>27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7">
        <f>IFERROR(__xludf.DUMMYFUNCTION("""COMPUTED_VALUE"""),19.0)</f>
        <v>19</v>
      </c>
      <c r="C21" s="27">
        <f>IFERROR(__xludf.DUMMYFUNCTION("""COMPUTED_VALUE"""),10.0)</f>
        <v>10</v>
      </c>
      <c r="D21" s="27">
        <f>IFERROR(__xludf.DUMMYFUNCTION("""COMPUTED_VALUE"""),414.0)</f>
        <v>414</v>
      </c>
      <c r="E21" s="27" t="str">
        <f>IFERROR(__xludf.DUMMYFUNCTION("""COMPUTED_VALUE"""),"Tytus Rosiński")</f>
        <v>Tytus Rosiński</v>
      </c>
      <c r="F21" s="27" t="str">
        <f>IFERROR(__xludf.DUMMYFUNCTION("""COMPUTED_VALUE"""),"Poland")</f>
        <v>Poland</v>
      </c>
      <c r="G21" s="27" t="str">
        <f>IFERROR(__xludf.DUMMYFUNCTION("""COMPUTED_VALUE"""),"BMW E36")</f>
        <v>BMW E36</v>
      </c>
      <c r="H21" s="33"/>
      <c r="I21" s="33">
        <f>IFERROR(__xludf.DUMMYFUNCTION("""COMPUTED_VALUE"""),24.0)</f>
        <v>24</v>
      </c>
      <c r="J21" s="33">
        <f>IFERROR(__xludf.DUMMYFUNCTION("""COMPUTED_VALUE"""),2.0)</f>
        <v>2</v>
      </c>
      <c r="K21" s="33">
        <f>IFERROR(__xludf.DUMMYFUNCTION("""COMPUTED_VALUE"""),26.0)</f>
        <v>26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7">
        <f>IFERROR(__xludf.DUMMYFUNCTION("""COMPUTED_VALUE"""),20.0)</f>
        <v>20</v>
      </c>
      <c r="C22" s="27">
        <f>IFERROR(__xludf.DUMMYFUNCTION("""COMPUTED_VALUE"""),14.0)</f>
        <v>14</v>
      </c>
      <c r="D22" s="27">
        <f>IFERROR(__xludf.DUMMYFUNCTION("""COMPUTED_VALUE"""),649.0)</f>
        <v>649</v>
      </c>
      <c r="E22" s="27" t="str">
        <f>IFERROR(__xludf.DUMMYFUNCTION("""COMPUTED_VALUE"""),"Simon Sandman")</f>
        <v>Simon Sandman</v>
      </c>
      <c r="F22" s="27" t="str">
        <f>IFERROR(__xludf.DUMMYFUNCTION("""COMPUTED_VALUE"""),"Sweden")</f>
        <v>Sweden</v>
      </c>
      <c r="G22" s="27" t="str">
        <f>IFERROR(__xludf.DUMMYFUNCTION("""COMPUTED_VALUE"""),"BMW E36")</f>
        <v>BMW E36</v>
      </c>
      <c r="H22" s="33" t="str">
        <f>IFERROR(__xludf.DUMMYFUNCTION("""COMPUTED_VALUE"""),"TEAM AWAKE")</f>
        <v>TEAM AWAKE</v>
      </c>
      <c r="I22" s="33">
        <f>IFERROR(__xludf.DUMMYFUNCTION("""COMPUTED_VALUE"""),24.0)</f>
        <v>24</v>
      </c>
      <c r="J22" s="33">
        <f>IFERROR(__xludf.DUMMYFUNCTION("""COMPUTED_VALUE"""),1.0)</f>
        <v>1</v>
      </c>
      <c r="K22" s="33">
        <f>IFERROR(__xludf.DUMMYFUNCTION("""COMPUTED_VALUE"""),25.0)</f>
        <v>25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7">
        <f>IFERROR(__xludf.DUMMYFUNCTION("""COMPUTED_VALUE"""),21.0)</f>
        <v>21</v>
      </c>
      <c r="C23" s="27">
        <f>IFERROR(__xludf.DUMMYFUNCTION("""COMPUTED_VALUE"""),15.0)</f>
        <v>15</v>
      </c>
      <c r="D23" s="27">
        <f>IFERROR(__xludf.DUMMYFUNCTION("""COMPUTED_VALUE"""),65.0)</f>
        <v>65</v>
      </c>
      <c r="E23" s="27" t="str">
        <f>IFERROR(__xludf.DUMMYFUNCTION("""COMPUTED_VALUE"""),"Juuso Järvenpää")</f>
        <v>Juuso Järvenpää</v>
      </c>
      <c r="F23" s="27" t="str">
        <f>IFERROR(__xludf.DUMMYFUNCTION("""COMPUTED_VALUE"""),"Finland")</f>
        <v>Finland</v>
      </c>
      <c r="G23" s="27" t="str">
        <f>IFERROR(__xludf.DUMMYFUNCTION("""COMPUTED_VALUE"""),"BMW E36")</f>
        <v>BMW E36</v>
      </c>
      <c r="H23" s="33" t="str">
        <f>IFERROR(__xludf.DUMMYFUNCTION("""COMPUTED_VALUE"""),"Martat Racing")</f>
        <v>Martat Racing</v>
      </c>
      <c r="I23" s="33">
        <f>IFERROR(__xludf.DUMMYFUNCTION("""COMPUTED_VALUE"""),24.0)</f>
        <v>24</v>
      </c>
      <c r="J23" s="33">
        <f>IFERROR(__xludf.DUMMYFUNCTION("""COMPUTED_VALUE"""),1.0)</f>
        <v>1</v>
      </c>
      <c r="K23" s="33">
        <f>IFERROR(__xludf.DUMMYFUNCTION("""COMPUTED_VALUE"""),25.0)</f>
        <v>25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7">
        <f>IFERROR(__xludf.DUMMYFUNCTION("""COMPUTED_VALUE"""),22.0)</f>
        <v>22</v>
      </c>
      <c r="C24" s="27">
        <f>IFERROR(__xludf.DUMMYFUNCTION("""COMPUTED_VALUE"""),17.0)</f>
        <v>17</v>
      </c>
      <c r="D24" s="27">
        <f>IFERROR(__xludf.DUMMYFUNCTION("""COMPUTED_VALUE"""),666.0)</f>
        <v>666</v>
      </c>
      <c r="E24" s="27" t="str">
        <f>IFERROR(__xludf.DUMMYFUNCTION("""COMPUTED_VALUE"""),"Ritums Jēkabsons")</f>
        <v>Ritums Jēkabsons</v>
      </c>
      <c r="F24" s="27" t="str">
        <f>IFERROR(__xludf.DUMMYFUNCTION("""COMPUTED_VALUE"""),"Latvia")</f>
        <v>Latvia</v>
      </c>
      <c r="G24" s="27" t="str">
        <f>IFERROR(__xludf.DUMMYFUNCTION("""COMPUTED_VALUE"""),"BMW E36")</f>
        <v>BMW E36</v>
      </c>
      <c r="H24" s="33" t="str">
        <f>IFERROR(__xludf.DUMMYFUNCTION("""COMPUTED_VALUE"""),"Drifta halle")</f>
        <v>Drifta halle</v>
      </c>
      <c r="I24" s="33">
        <f>IFERROR(__xludf.DUMMYFUNCTION("""COMPUTED_VALUE"""),24.0)</f>
        <v>24</v>
      </c>
      <c r="J24" s="33">
        <f>IFERROR(__xludf.DUMMYFUNCTION("""COMPUTED_VALUE"""),0.5)</f>
        <v>0.5</v>
      </c>
      <c r="K24" s="33">
        <f>IFERROR(__xludf.DUMMYFUNCTION("""COMPUTED_VALUE"""),24.5)</f>
        <v>24.5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7">
        <f>IFERROR(__xludf.DUMMYFUNCTION("""COMPUTED_VALUE"""),23.0)</f>
        <v>23</v>
      </c>
      <c r="C25" s="27">
        <f>IFERROR(__xludf.DUMMYFUNCTION("""COMPUTED_VALUE"""),20.0)</f>
        <v>20</v>
      </c>
      <c r="D25" s="27">
        <f>IFERROR(__xludf.DUMMYFUNCTION("""COMPUTED_VALUE"""),13.0)</f>
        <v>13</v>
      </c>
      <c r="E25" s="27" t="str">
        <f>IFERROR(__xludf.DUMMYFUNCTION("""COMPUTED_VALUE"""),"Fredrik Blokhus")</f>
        <v>Fredrik Blokhus</v>
      </c>
      <c r="F25" s="27" t="str">
        <f>IFERROR(__xludf.DUMMYFUNCTION("""COMPUTED_VALUE"""),"Norway")</f>
        <v>Norway</v>
      </c>
      <c r="G25" s="27" t="str">
        <f>IFERROR(__xludf.DUMMYFUNCTION("""COMPUTED_VALUE"""),"BMW E36")</f>
        <v>BMW E36</v>
      </c>
      <c r="H25" s="33" t="str">
        <f>IFERROR(__xludf.DUMMYFUNCTION("""COMPUTED_VALUE"""),"Clutch This!")</f>
        <v>Clutch This!</v>
      </c>
      <c r="I25" s="33">
        <f>IFERROR(__xludf.DUMMYFUNCTION("""COMPUTED_VALUE"""),24.0)</f>
        <v>24</v>
      </c>
      <c r="J25" s="33">
        <f>IFERROR(__xludf.DUMMYFUNCTION("""COMPUTED_VALUE"""),0.5)</f>
        <v>0.5</v>
      </c>
      <c r="K25" s="33">
        <f>IFERROR(__xludf.DUMMYFUNCTION("""COMPUTED_VALUE"""),24.5)</f>
        <v>24.5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7">
        <f>IFERROR(__xludf.DUMMYFUNCTION("""COMPUTED_VALUE"""),24.0)</f>
        <v>24</v>
      </c>
      <c r="C26" s="27">
        <f>IFERROR(__xludf.DUMMYFUNCTION("""COMPUTED_VALUE"""),21.0)</f>
        <v>21</v>
      </c>
      <c r="D26" s="27">
        <f>IFERROR(__xludf.DUMMYFUNCTION("""COMPUTED_VALUE"""),117.0)</f>
        <v>117</v>
      </c>
      <c r="E26" s="27" t="str">
        <f>IFERROR(__xludf.DUMMYFUNCTION("""COMPUTED_VALUE"""),"Liliana Lang")</f>
        <v>Liliana Lang</v>
      </c>
      <c r="F26" s="27" t="str">
        <f>IFERROR(__xludf.DUMMYFUNCTION("""COMPUTED_VALUE"""),"Austria")</f>
        <v>Austria</v>
      </c>
      <c r="G26" s="27" t="str">
        <f>IFERROR(__xludf.DUMMYFUNCTION("""COMPUTED_VALUE"""),"BMW E36")</f>
        <v>BMW E36</v>
      </c>
      <c r="H26" s="33" t="str">
        <f>IFERROR(__xludf.DUMMYFUNCTION("""COMPUTED_VALUE"""),"Trap House")</f>
        <v>Trap House</v>
      </c>
      <c r="I26" s="33">
        <f>IFERROR(__xludf.DUMMYFUNCTION("""COMPUTED_VALUE"""),24.0)</f>
        <v>24</v>
      </c>
      <c r="J26" s="33">
        <f>IFERROR(__xludf.DUMMYFUNCTION("""COMPUTED_VALUE"""),0.5)</f>
        <v>0.5</v>
      </c>
      <c r="K26" s="33">
        <f>IFERROR(__xludf.DUMMYFUNCTION("""COMPUTED_VALUE"""),24.5)</f>
        <v>24.5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7">
        <f>IFERROR(__xludf.DUMMYFUNCTION("""COMPUTED_VALUE"""),25.0)</f>
        <v>25</v>
      </c>
      <c r="C27" s="27">
        <f>IFERROR(__xludf.DUMMYFUNCTION("""COMPUTED_VALUE"""),22.0)</f>
        <v>22</v>
      </c>
      <c r="D27" s="27">
        <f>IFERROR(__xludf.DUMMYFUNCTION("""COMPUTED_VALUE"""),48.0)</f>
        <v>48</v>
      </c>
      <c r="E27" s="27" t="str">
        <f>IFERROR(__xludf.DUMMYFUNCTION("""COMPUTED_VALUE"""),"Mantas Savickas")</f>
        <v>Mantas Savickas</v>
      </c>
      <c r="F27" s="27" t="str">
        <f>IFERROR(__xludf.DUMMYFUNCTION("""COMPUTED_VALUE"""),"Lithuania")</f>
        <v>Lithuania</v>
      </c>
      <c r="G27" s="27" t="str">
        <f>IFERROR(__xludf.DUMMYFUNCTION("""COMPUTED_VALUE"""),"BMW E36")</f>
        <v>BMW E36</v>
      </c>
      <c r="H27" s="33"/>
      <c r="I27" s="33">
        <f>IFERROR(__xludf.DUMMYFUNCTION("""COMPUTED_VALUE"""),24.0)</f>
        <v>24</v>
      </c>
      <c r="J27" s="33">
        <f>IFERROR(__xludf.DUMMYFUNCTION("""COMPUTED_VALUE"""),0.5)</f>
        <v>0.5</v>
      </c>
      <c r="K27" s="33">
        <f>IFERROR(__xludf.DUMMYFUNCTION("""COMPUTED_VALUE"""),24.5)</f>
        <v>24.5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7">
        <f>IFERROR(__xludf.DUMMYFUNCTION("""COMPUTED_VALUE"""),26.0)</f>
        <v>26</v>
      </c>
      <c r="C28" s="27">
        <f>IFERROR(__xludf.DUMMYFUNCTION("""COMPUTED_VALUE"""),24.0)</f>
        <v>24</v>
      </c>
      <c r="D28" s="27">
        <f>IFERROR(__xludf.DUMMYFUNCTION("""COMPUTED_VALUE"""),19.0)</f>
        <v>19</v>
      </c>
      <c r="E28" s="27" t="str">
        <f>IFERROR(__xludf.DUMMYFUNCTION("""COMPUTED_VALUE"""),"Miłosz Gawin")</f>
        <v>Miłosz Gawin</v>
      </c>
      <c r="F28" s="27" t="str">
        <f>IFERROR(__xludf.DUMMYFUNCTION("""COMPUTED_VALUE"""),"Poland")</f>
        <v>Poland</v>
      </c>
      <c r="G28" s="27" t="str">
        <f>IFERROR(__xludf.DUMMYFUNCTION("""COMPUTED_VALUE"""),"BMW E36")</f>
        <v>BMW E36</v>
      </c>
      <c r="H28" s="33" t="str">
        <f>IFERROR(__xludf.DUMMYFUNCTION("""COMPUTED_VALUE"""),"Team Delta Infinite")</f>
        <v>Team Delta Infinite</v>
      </c>
      <c r="I28" s="33">
        <f>IFERROR(__xludf.DUMMYFUNCTION("""COMPUTED_VALUE"""),24.0)</f>
        <v>24</v>
      </c>
      <c r="J28" s="33">
        <f>IFERROR(__xludf.DUMMYFUNCTION("""COMPUTED_VALUE"""),0.5)</f>
        <v>0.5</v>
      </c>
      <c r="K28" s="33">
        <f>IFERROR(__xludf.DUMMYFUNCTION("""COMPUTED_VALUE"""),24.5)</f>
        <v>24.5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7">
        <f>IFERROR(__xludf.DUMMYFUNCTION("""COMPUTED_VALUE"""),27.0)</f>
        <v>27</v>
      </c>
      <c r="C29" s="27">
        <f>IFERROR(__xludf.DUMMYFUNCTION("""COMPUTED_VALUE"""),25.0)</f>
        <v>25</v>
      </c>
      <c r="D29" s="27">
        <f>IFERROR(__xludf.DUMMYFUNCTION("""COMPUTED_VALUE"""),743.0)</f>
        <v>743</v>
      </c>
      <c r="E29" s="27" t="str">
        <f>IFERROR(__xludf.DUMMYFUNCTION("""COMPUTED_VALUE"""),"Danielis Soltysiakas")</f>
        <v>Danielis Soltysiakas</v>
      </c>
      <c r="F29" s="27" t="str">
        <f>IFERROR(__xludf.DUMMYFUNCTION("""COMPUTED_VALUE"""),"Lithuania")</f>
        <v>Lithuania</v>
      </c>
      <c r="G29" s="27" t="str">
        <f>IFERROR(__xludf.DUMMYFUNCTION("""COMPUTED_VALUE"""),"BMW E46")</f>
        <v>BMW E46</v>
      </c>
      <c r="H29" s="33" t="str">
        <f>IFERROR(__xludf.DUMMYFUNCTION("""COMPUTED_VALUE"""),"NiekoTokio")</f>
        <v>NiekoTokio</v>
      </c>
      <c r="I29" s="33">
        <f>IFERROR(__xludf.DUMMYFUNCTION("""COMPUTED_VALUE"""),24.0)</f>
        <v>24</v>
      </c>
      <c r="J29" s="33">
        <f>IFERROR(__xludf.DUMMYFUNCTION("""COMPUTED_VALUE"""),0.25)</f>
        <v>0.25</v>
      </c>
      <c r="K29" s="33">
        <f>IFERROR(__xludf.DUMMYFUNCTION("""COMPUTED_VALUE"""),24.25)</f>
        <v>24.25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7">
        <f>IFERROR(__xludf.DUMMYFUNCTION("""COMPUTED_VALUE"""),28.0)</f>
        <v>28</v>
      </c>
      <c r="C30" s="27">
        <f>IFERROR(__xludf.DUMMYFUNCTION("""COMPUTED_VALUE"""),27.0)</f>
        <v>27</v>
      </c>
      <c r="D30" s="27">
        <f>IFERROR(__xludf.DUMMYFUNCTION("""COMPUTED_VALUE"""),507.0)</f>
        <v>507</v>
      </c>
      <c r="E30" s="27" t="str">
        <f>IFERROR(__xludf.DUMMYFUNCTION("""COMPUTED_VALUE"""),"Alexander skok Jensen")</f>
        <v>Alexander skok Jensen</v>
      </c>
      <c r="F30" s="27" t="str">
        <f>IFERROR(__xludf.DUMMYFUNCTION("""COMPUTED_VALUE"""),"Denmark")</f>
        <v>Denmark</v>
      </c>
      <c r="G30" s="27" t="str">
        <f>IFERROR(__xludf.DUMMYFUNCTION("""COMPUTED_VALUE"""),"BMW E36")</f>
        <v>BMW E36</v>
      </c>
      <c r="H30" s="33"/>
      <c r="I30" s="33">
        <f>IFERROR(__xludf.DUMMYFUNCTION("""COMPUTED_VALUE"""),24.0)</f>
        <v>24</v>
      </c>
      <c r="J30" s="33">
        <f>IFERROR(__xludf.DUMMYFUNCTION("""COMPUTED_VALUE"""),0.25)</f>
        <v>0.25</v>
      </c>
      <c r="K30" s="33">
        <f>IFERROR(__xludf.DUMMYFUNCTION("""COMPUTED_VALUE"""),24.25)</f>
        <v>24.25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7">
        <f>IFERROR(__xludf.DUMMYFUNCTION("""COMPUTED_VALUE"""),29.0)</f>
        <v>29</v>
      </c>
      <c r="C31" s="27">
        <f>IFERROR(__xludf.DUMMYFUNCTION("""COMPUTED_VALUE"""),28.0)</f>
        <v>28</v>
      </c>
      <c r="D31" s="27">
        <f>IFERROR(__xludf.DUMMYFUNCTION("""COMPUTED_VALUE"""),4.0)</f>
        <v>4</v>
      </c>
      <c r="E31" s="27" t="str">
        <f>IFERROR(__xludf.DUMMYFUNCTION("""COMPUTED_VALUE"""),"Paweł Kałużka")</f>
        <v>Paweł Kałużka</v>
      </c>
      <c r="F31" s="27" t="str">
        <f>IFERROR(__xludf.DUMMYFUNCTION("""COMPUTED_VALUE"""),"Poland")</f>
        <v>Poland</v>
      </c>
      <c r="G31" s="27" t="str">
        <f>IFERROR(__xludf.DUMMYFUNCTION("""COMPUTED_VALUE"""),"BMW E36")</f>
        <v>BMW E36</v>
      </c>
      <c r="H31" s="33"/>
      <c r="I31" s="33">
        <f>IFERROR(__xludf.DUMMYFUNCTION("""COMPUTED_VALUE"""),24.0)</f>
        <v>24</v>
      </c>
      <c r="J31" s="33">
        <f>IFERROR(__xludf.DUMMYFUNCTION("""COMPUTED_VALUE"""),0.25)</f>
        <v>0.25</v>
      </c>
      <c r="K31" s="33">
        <f>IFERROR(__xludf.DUMMYFUNCTION("""COMPUTED_VALUE"""),24.25)</f>
        <v>24.25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7">
        <f>IFERROR(__xludf.DUMMYFUNCTION("""COMPUTED_VALUE"""),30.0)</f>
        <v>30</v>
      </c>
      <c r="C32" s="27">
        <f>IFERROR(__xludf.DUMMYFUNCTION("""COMPUTED_VALUE"""),29.0)</f>
        <v>29</v>
      </c>
      <c r="D32" s="27">
        <f>IFERROR(__xludf.DUMMYFUNCTION("""COMPUTED_VALUE"""),808.0)</f>
        <v>808</v>
      </c>
      <c r="E32" s="27" t="str">
        <f>IFERROR(__xludf.DUMMYFUNCTION("""COMPUTED_VALUE"""),"Dima Baydin")</f>
        <v>Dima Baydin</v>
      </c>
      <c r="F32" s="27" t="str">
        <f>IFERROR(__xludf.DUMMYFUNCTION("""COMPUTED_VALUE"""),"Kazakhstan")</f>
        <v>Kazakhstan</v>
      </c>
      <c r="G32" s="27" t="str">
        <f>IFERROR(__xludf.DUMMYFUNCTION("""COMPUTED_VALUE"""),"BMW E36")</f>
        <v>BMW E36</v>
      </c>
      <c r="H32" s="33" t="str">
        <f>IFERROR(__xludf.DUMMYFUNCTION("""COMPUTED_VALUE"""),"Ackerman")</f>
        <v>Ackerman</v>
      </c>
      <c r="I32" s="33">
        <f>IFERROR(__xludf.DUMMYFUNCTION("""COMPUTED_VALUE"""),24.0)</f>
        <v>24</v>
      </c>
      <c r="J32" s="33">
        <f>IFERROR(__xludf.DUMMYFUNCTION("""COMPUTED_VALUE"""),0.25)</f>
        <v>0.25</v>
      </c>
      <c r="K32" s="33">
        <f>IFERROR(__xludf.DUMMYFUNCTION("""COMPUTED_VALUE"""),24.25)</f>
        <v>24.25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7">
        <f>IFERROR(__xludf.DUMMYFUNCTION("""COMPUTED_VALUE"""),31.0)</f>
        <v>31</v>
      </c>
      <c r="C33" s="27">
        <f>IFERROR(__xludf.DUMMYFUNCTION("""COMPUTED_VALUE"""),30.0)</f>
        <v>30</v>
      </c>
      <c r="D33" s="27">
        <f>IFERROR(__xludf.DUMMYFUNCTION("""COMPUTED_VALUE"""),88.0)</f>
        <v>88</v>
      </c>
      <c r="E33" s="27" t="str">
        <f>IFERROR(__xludf.DUMMYFUNCTION("""COMPUTED_VALUE"""),"Daniel Kvasha")</f>
        <v>Daniel Kvasha</v>
      </c>
      <c r="F33" s="27" t="str">
        <f>IFERROR(__xludf.DUMMYFUNCTION("""COMPUTED_VALUE"""),"Israel")</f>
        <v>Israel</v>
      </c>
      <c r="G33" s="27" t="str">
        <f>IFERROR(__xludf.DUMMYFUNCTION("""COMPUTED_VALUE"""),"BMW E36")</f>
        <v>BMW E36</v>
      </c>
      <c r="H33" s="33" t="str">
        <f>IFERROR(__xludf.DUMMYFUNCTION("""COMPUTED_VALUE"""),"EDF")</f>
        <v>EDF</v>
      </c>
      <c r="I33" s="33">
        <f>IFERROR(__xludf.DUMMYFUNCTION("""COMPUTED_VALUE"""),24.0)</f>
        <v>24</v>
      </c>
      <c r="J33" s="33">
        <f>IFERROR(__xludf.DUMMYFUNCTION("""COMPUTED_VALUE"""),0.25)</f>
        <v>0.25</v>
      </c>
      <c r="K33" s="33">
        <f>IFERROR(__xludf.DUMMYFUNCTION("""COMPUTED_VALUE"""),24.25)</f>
        <v>24.25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7">
        <f>IFERROR(__xludf.DUMMYFUNCTION("""COMPUTED_VALUE"""),32.0)</f>
        <v>32</v>
      </c>
      <c r="C34" s="27">
        <f>IFERROR(__xludf.DUMMYFUNCTION("""COMPUTED_VALUE"""),32.0)</f>
        <v>32</v>
      </c>
      <c r="D34" s="27">
        <f>IFERROR(__xludf.DUMMYFUNCTION("""COMPUTED_VALUE"""),59.0)</f>
        <v>59</v>
      </c>
      <c r="E34" s="27" t="str">
        <f>IFERROR(__xludf.DUMMYFUNCTION("""COMPUTED_VALUE"""),"Oleh Solomoichenko")</f>
        <v>Oleh Solomoichenko</v>
      </c>
      <c r="F34" s="27" t="str">
        <f>IFERROR(__xludf.DUMMYFUNCTION("""COMPUTED_VALUE"""),"Ukraine")</f>
        <v>Ukraine</v>
      </c>
      <c r="G34" s="27" t="str">
        <f>IFERROR(__xludf.DUMMYFUNCTION("""COMPUTED_VALUE"""),"BMW E46")</f>
        <v>BMW E46</v>
      </c>
      <c r="H34" s="33"/>
      <c r="I34" s="33">
        <f>IFERROR(__xludf.DUMMYFUNCTION("""COMPUTED_VALUE"""),24.0)</f>
        <v>24</v>
      </c>
      <c r="J34" s="33">
        <f>IFERROR(__xludf.DUMMYFUNCTION("""COMPUTED_VALUE"""),0.25)</f>
        <v>0.25</v>
      </c>
      <c r="K34" s="33">
        <f>IFERROR(__xludf.DUMMYFUNCTION("""COMPUTED_VALUE"""),24.25)</f>
        <v>24.25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7">
        <f>IFERROR(__xludf.DUMMYFUNCTION("""COMPUTED_VALUE"""),33.0)</f>
        <v>33</v>
      </c>
      <c r="C35" s="27">
        <f>IFERROR(__xludf.DUMMYFUNCTION("""COMPUTED_VALUE"""),33.0)</f>
        <v>33</v>
      </c>
      <c r="D35" s="27">
        <f>IFERROR(__xludf.DUMMYFUNCTION("""COMPUTED_VALUE"""),469.0)</f>
        <v>469</v>
      </c>
      <c r="E35" s="27" t="str">
        <f>IFERROR(__xludf.DUMMYFUNCTION("""COMPUTED_VALUE"""),"Elgars Bambāns")</f>
        <v>Elgars Bambāns</v>
      </c>
      <c r="F35" s="27" t="str">
        <f>IFERROR(__xludf.DUMMYFUNCTION("""COMPUTED_VALUE"""),"Latvia")</f>
        <v>Latvia</v>
      </c>
      <c r="G35" s="27" t="str">
        <f>IFERROR(__xludf.DUMMYFUNCTION("""COMPUTED_VALUE"""),"BMW E46")</f>
        <v>BMW E46</v>
      </c>
      <c r="H35" s="33" t="str">
        <f>IFERROR(__xludf.DUMMYFUNCTION("""COMPUTED_VALUE"""),"Moist Drift Design")</f>
        <v>Moist Drift Design</v>
      </c>
      <c r="I35" s="33">
        <f>IFERROR(__xludf.DUMMYFUNCTION("""COMPUTED_VALUE"""),10.0)</f>
        <v>10</v>
      </c>
      <c r="J35" s="33">
        <f>IFERROR(__xludf.DUMMYFUNCTION("""COMPUTED_VALUE"""),0.1)</f>
        <v>0.1</v>
      </c>
      <c r="K35" s="33">
        <f>IFERROR(__xludf.DUMMYFUNCTION("""COMPUTED_VALUE"""),10.1)</f>
        <v>10.1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7">
        <f>IFERROR(__xludf.DUMMYFUNCTION("""COMPUTED_VALUE"""),34.0)</f>
        <v>34</v>
      </c>
      <c r="C36" s="27">
        <f>IFERROR(__xludf.DUMMYFUNCTION("""COMPUTED_VALUE"""),34.0)</f>
        <v>34</v>
      </c>
      <c r="D36" s="27">
        <f>IFERROR(__xludf.DUMMYFUNCTION("""COMPUTED_VALUE"""),420.0)</f>
        <v>420</v>
      </c>
      <c r="E36" s="27" t="str">
        <f>IFERROR(__xludf.DUMMYFUNCTION("""COMPUTED_VALUE"""),"Eduards Rēdmanis")</f>
        <v>Eduards Rēdmanis</v>
      </c>
      <c r="F36" s="27" t="str">
        <f>IFERROR(__xludf.DUMMYFUNCTION("""COMPUTED_VALUE"""),"Latvia")</f>
        <v>Latvia</v>
      </c>
      <c r="G36" s="27" t="str">
        <f>IFERROR(__xludf.DUMMYFUNCTION("""COMPUTED_VALUE"""),"BMW E46")</f>
        <v>BMW E46</v>
      </c>
      <c r="H36" s="33" t="str">
        <f>IFERROR(__xludf.DUMMYFUNCTION("""COMPUTED_VALUE"""),"RTRiga")</f>
        <v>RTRiga</v>
      </c>
      <c r="I36" s="33">
        <f>IFERROR(__xludf.DUMMYFUNCTION("""COMPUTED_VALUE"""),10.0)</f>
        <v>10</v>
      </c>
      <c r="J36" s="33">
        <f>IFERROR(__xludf.DUMMYFUNCTION("""COMPUTED_VALUE"""),0.1)</f>
        <v>0.1</v>
      </c>
      <c r="K36" s="33">
        <f>IFERROR(__xludf.DUMMYFUNCTION("""COMPUTED_VALUE"""),10.1)</f>
        <v>10.1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7">
        <f>IFERROR(__xludf.DUMMYFUNCTION("""COMPUTED_VALUE"""),35.0)</f>
        <v>35</v>
      </c>
      <c r="C37" s="27">
        <f>IFERROR(__xludf.DUMMYFUNCTION("""COMPUTED_VALUE"""),35.0)</f>
        <v>35</v>
      </c>
      <c r="D37" s="27">
        <f>IFERROR(__xludf.DUMMYFUNCTION("""COMPUTED_VALUE"""),777.0)</f>
        <v>777</v>
      </c>
      <c r="E37" s="27" t="str">
        <f>IFERROR(__xludf.DUMMYFUNCTION("""COMPUTED_VALUE"""),"Jose Osuna")</f>
        <v>Jose Osuna</v>
      </c>
      <c r="F37" s="27" t="str">
        <f>IFERROR(__xludf.DUMMYFUNCTION("""COMPUTED_VALUE"""),"Mexico")</f>
        <v>Mexico</v>
      </c>
      <c r="G37" s="27" t="str">
        <f>IFERROR(__xludf.DUMMYFUNCTION("""COMPUTED_VALUE"""),"BMW E36")</f>
        <v>BMW E36</v>
      </c>
      <c r="H37" s="33" t="str">
        <f>IFERROR(__xludf.DUMMYFUNCTION("""COMPUTED_VALUE"""),"9x")</f>
        <v>9x</v>
      </c>
      <c r="I37" s="33">
        <f>IFERROR(__xludf.DUMMYFUNCTION("""COMPUTED_VALUE"""),10.0)</f>
        <v>10</v>
      </c>
      <c r="J37" s="33">
        <f>IFERROR(__xludf.DUMMYFUNCTION("""COMPUTED_VALUE"""),0.1)</f>
        <v>0.1</v>
      </c>
      <c r="K37" s="33">
        <f>IFERROR(__xludf.DUMMYFUNCTION("""COMPUTED_VALUE"""),10.1)</f>
        <v>10.1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7">
        <f>IFERROR(__xludf.DUMMYFUNCTION("""COMPUTED_VALUE"""),36.0)</f>
        <v>36</v>
      </c>
      <c r="C38" s="27">
        <f>IFERROR(__xludf.DUMMYFUNCTION("""COMPUTED_VALUE"""),36.0)</f>
        <v>36</v>
      </c>
      <c r="D38" s="27">
        <f>IFERROR(__xludf.DUMMYFUNCTION("""COMPUTED_VALUE"""),475.0)</f>
        <v>475</v>
      </c>
      <c r="E38" s="27" t="str">
        <f>IFERROR(__xludf.DUMMYFUNCTION("""COMPUTED_VALUE"""),"Kreznerics Dominik")</f>
        <v>Kreznerics Dominik</v>
      </c>
      <c r="F38" s="27" t="str">
        <f>IFERROR(__xludf.DUMMYFUNCTION("""COMPUTED_VALUE"""),"Hungary")</f>
        <v>Hungary</v>
      </c>
      <c r="G38" s="27" t="str">
        <f>IFERROR(__xludf.DUMMYFUNCTION("""COMPUTED_VALUE"""),"BMW E36")</f>
        <v>BMW E36</v>
      </c>
      <c r="H38" s="33" t="str">
        <f>IFERROR(__xludf.DUMMYFUNCTION("""COMPUTED_VALUE"""),"MSK")</f>
        <v>MSK</v>
      </c>
      <c r="I38" s="33">
        <f>IFERROR(__xludf.DUMMYFUNCTION("""COMPUTED_VALUE"""),10.0)</f>
        <v>10</v>
      </c>
      <c r="J38" s="33">
        <f>IFERROR(__xludf.DUMMYFUNCTION("""COMPUTED_VALUE"""),0.1)</f>
        <v>0.1</v>
      </c>
      <c r="K38" s="33">
        <f>IFERROR(__xludf.DUMMYFUNCTION("""COMPUTED_VALUE"""),10.1)</f>
        <v>10.1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7">
        <f>IFERROR(__xludf.DUMMYFUNCTION("""COMPUTED_VALUE"""),37.0)</f>
        <v>37</v>
      </c>
      <c r="C39" s="27">
        <f>IFERROR(__xludf.DUMMYFUNCTION("""COMPUTED_VALUE"""),37.0)</f>
        <v>37</v>
      </c>
      <c r="D39" s="27">
        <f>IFERROR(__xludf.DUMMYFUNCTION("""COMPUTED_VALUE"""),43.0)</f>
        <v>43</v>
      </c>
      <c r="E39" s="27" t="str">
        <f>IFERROR(__xludf.DUMMYFUNCTION("""COMPUTED_VALUE"""),"Azamat Maigarin")</f>
        <v>Azamat Maigarin</v>
      </c>
      <c r="F39" s="27" t="str">
        <f>IFERROR(__xludf.DUMMYFUNCTION("""COMPUTED_VALUE"""),"Kazakhstan")</f>
        <v>Kazakhstan</v>
      </c>
      <c r="G39" s="27" t="str">
        <f>IFERROR(__xludf.DUMMYFUNCTION("""COMPUTED_VALUE"""),"BMW E36")</f>
        <v>BMW E36</v>
      </c>
      <c r="H39" s="33" t="str">
        <f>IFERROR(__xludf.DUMMYFUNCTION("""COMPUTED_VALUE"""),"Race place Team")</f>
        <v>Race place Team</v>
      </c>
      <c r="I39" s="33">
        <f>IFERROR(__xludf.DUMMYFUNCTION("""COMPUTED_VALUE"""),10.0)</f>
        <v>10</v>
      </c>
      <c r="J39" s="33">
        <f>IFERROR(__xludf.DUMMYFUNCTION("""COMPUTED_VALUE"""),0.1)</f>
        <v>0.1</v>
      </c>
      <c r="K39" s="33">
        <f>IFERROR(__xludf.DUMMYFUNCTION("""COMPUTED_VALUE"""),10.1)</f>
        <v>10.1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7">
        <f>IFERROR(__xludf.DUMMYFUNCTION("""COMPUTED_VALUE"""),38.0)</f>
        <v>38</v>
      </c>
      <c r="C40" s="27">
        <f>IFERROR(__xludf.DUMMYFUNCTION("""COMPUTED_VALUE"""),38.0)</f>
        <v>38</v>
      </c>
      <c r="D40" s="27">
        <f>IFERROR(__xludf.DUMMYFUNCTION("""COMPUTED_VALUE"""),44.0)</f>
        <v>44</v>
      </c>
      <c r="E40" s="27" t="str">
        <f>IFERROR(__xludf.DUMMYFUNCTION("""COMPUTED_VALUE"""),"Vilius Prizgintas")</f>
        <v>Vilius Prizgintas</v>
      </c>
      <c r="F40" s="27" t="str">
        <f>IFERROR(__xludf.DUMMYFUNCTION("""COMPUTED_VALUE"""),"Lithuania")</f>
        <v>Lithuania</v>
      </c>
      <c r="G40" s="27" t="str">
        <f>IFERROR(__xludf.DUMMYFUNCTION("""COMPUTED_VALUE"""),"BMW E36")</f>
        <v>BMW E36</v>
      </c>
      <c r="H40" s="33" t="str">
        <f>IFERROR(__xludf.DUMMYFUNCTION("""COMPUTED_VALUE"""),"NiekoTokio")</f>
        <v>NiekoTokio</v>
      </c>
      <c r="I40" s="33">
        <f>IFERROR(__xludf.DUMMYFUNCTION("""COMPUTED_VALUE"""),10.0)</f>
        <v>10</v>
      </c>
      <c r="J40" s="33">
        <f>IFERROR(__xludf.DUMMYFUNCTION("""COMPUTED_VALUE"""),0.1)</f>
        <v>0.1</v>
      </c>
      <c r="K40" s="33">
        <f>IFERROR(__xludf.DUMMYFUNCTION("""COMPUTED_VALUE"""),10.1)</f>
        <v>10.1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7">
        <f>IFERROR(__xludf.DUMMYFUNCTION("""COMPUTED_VALUE"""),39.0)</f>
        <v>39</v>
      </c>
      <c r="C41" s="27">
        <f>IFERROR(__xludf.DUMMYFUNCTION("""COMPUTED_VALUE"""),39.0)</f>
        <v>39</v>
      </c>
      <c r="D41" s="27">
        <f>IFERROR(__xludf.DUMMYFUNCTION("""COMPUTED_VALUE"""),90.0)</f>
        <v>90</v>
      </c>
      <c r="E41" s="27" t="str">
        <f>IFERROR(__xludf.DUMMYFUNCTION("""COMPUTED_VALUE"""),"Rolandas Mišauskas")</f>
        <v>Rolandas Mišauskas</v>
      </c>
      <c r="F41" s="27" t="str">
        <f>IFERROR(__xludf.DUMMYFUNCTION("""COMPUTED_VALUE"""),"Lithuania")</f>
        <v>Lithuania</v>
      </c>
      <c r="G41" s="27" t="str">
        <f>IFERROR(__xludf.DUMMYFUNCTION("""COMPUTED_VALUE"""),"BMW E36")</f>
        <v>BMW E36</v>
      </c>
      <c r="H41" s="33"/>
      <c r="I41" s="33">
        <f>IFERROR(__xludf.DUMMYFUNCTION("""COMPUTED_VALUE"""),10.0)</f>
        <v>10</v>
      </c>
      <c r="J41" s="33">
        <f>IFERROR(__xludf.DUMMYFUNCTION("""COMPUTED_VALUE"""),0.1)</f>
        <v>0.1</v>
      </c>
      <c r="K41" s="33">
        <f>IFERROR(__xludf.DUMMYFUNCTION("""COMPUTED_VALUE"""),10.1)</f>
        <v>10.1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7">
        <f>IFERROR(__xludf.DUMMYFUNCTION("""COMPUTED_VALUE"""),40.0)</f>
        <v>40</v>
      </c>
      <c r="C42" s="27">
        <f>IFERROR(__xludf.DUMMYFUNCTION("""COMPUTED_VALUE"""),40.0)</f>
        <v>40</v>
      </c>
      <c r="D42" s="27">
        <f>IFERROR(__xludf.DUMMYFUNCTION("""COMPUTED_VALUE"""),5.0)</f>
        <v>5</v>
      </c>
      <c r="E42" s="27" t="str">
        <f>IFERROR(__xludf.DUMMYFUNCTION("""COMPUTED_VALUE"""),"Kristiāns Austriņš")</f>
        <v>Kristiāns Austriņš</v>
      </c>
      <c r="F42" s="27" t="str">
        <f>IFERROR(__xludf.DUMMYFUNCTION("""COMPUTED_VALUE"""),"Latvia")</f>
        <v>Latvia</v>
      </c>
      <c r="G42" s="27" t="str">
        <f>IFERROR(__xludf.DUMMYFUNCTION("""COMPUTED_VALUE"""),"BMW E36")</f>
        <v>BMW E36</v>
      </c>
      <c r="H42" s="33"/>
      <c r="I42" s="33">
        <f>IFERROR(__xludf.DUMMYFUNCTION("""COMPUTED_VALUE"""),10.0)</f>
        <v>10</v>
      </c>
      <c r="J42" s="33">
        <f>IFERROR(__xludf.DUMMYFUNCTION("""COMPUTED_VALUE"""),0.1)</f>
        <v>0.1</v>
      </c>
      <c r="K42" s="33">
        <f>IFERROR(__xludf.DUMMYFUNCTION("""COMPUTED_VALUE"""),10.1)</f>
        <v>10.1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7">
        <f>IFERROR(__xludf.DUMMYFUNCTION("""COMPUTED_VALUE"""),41.0)</f>
        <v>41</v>
      </c>
      <c r="C43" s="27">
        <f>IFERROR(__xludf.DUMMYFUNCTION("""COMPUTED_VALUE"""),41.0)</f>
        <v>41</v>
      </c>
      <c r="D43" s="27">
        <f>IFERROR(__xludf.DUMMYFUNCTION("""COMPUTED_VALUE"""),37.0)</f>
        <v>37</v>
      </c>
      <c r="E43" s="27" t="str">
        <f>IFERROR(__xludf.DUMMYFUNCTION("""COMPUTED_VALUE"""),"Markuss Milns")</f>
        <v>Markuss Milns</v>
      </c>
      <c r="F43" s="27" t="str">
        <f>IFERROR(__xludf.DUMMYFUNCTION("""COMPUTED_VALUE"""),"Latvia")</f>
        <v>Latvia</v>
      </c>
      <c r="G43" s="27" t="str">
        <f>IFERROR(__xludf.DUMMYFUNCTION("""COMPUTED_VALUE"""),"BMW E36")</f>
        <v>BMW E36</v>
      </c>
      <c r="H43" s="33" t="str">
        <f>IFERROR(__xludf.DUMMYFUNCTION("""COMPUTED_VALUE"""),"Drifta Halle")</f>
        <v>Drifta Halle</v>
      </c>
      <c r="I43" s="33">
        <f>IFERROR(__xludf.DUMMYFUNCTION("""COMPUTED_VALUE"""),10.0)</f>
        <v>10</v>
      </c>
      <c r="J43" s="33">
        <f>IFERROR(__xludf.DUMMYFUNCTION("""COMPUTED_VALUE"""),0.1)</f>
        <v>0.1</v>
      </c>
      <c r="K43" s="33">
        <f>IFERROR(__xludf.DUMMYFUNCTION("""COMPUTED_VALUE"""),10.1)</f>
        <v>10.1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7">
        <f>IFERROR(__xludf.DUMMYFUNCTION("""COMPUTED_VALUE"""),42.0)</f>
        <v>42</v>
      </c>
      <c r="C44" s="27">
        <f>IFERROR(__xludf.DUMMYFUNCTION("""COMPUTED_VALUE"""),42.0)</f>
        <v>42</v>
      </c>
      <c r="D44" s="27">
        <f>IFERROR(__xludf.DUMMYFUNCTION("""COMPUTED_VALUE"""),497.0)</f>
        <v>497</v>
      </c>
      <c r="E44" s="27" t="str">
        <f>IFERROR(__xludf.DUMMYFUNCTION("""COMPUTED_VALUE"""),"Mathe Szilveszter")</f>
        <v>Mathe Szilveszter</v>
      </c>
      <c r="F44" s="27" t="str">
        <f>IFERROR(__xludf.DUMMYFUNCTION("""COMPUTED_VALUE"""),"Hungary")</f>
        <v>Hungary</v>
      </c>
      <c r="G44" s="27" t="str">
        <f>IFERROR(__xludf.DUMMYFUNCTION("""COMPUTED_VALUE"""),"BMW E36")</f>
        <v>BMW E36</v>
      </c>
      <c r="H44" s="33" t="str">
        <f>IFERROR(__xludf.DUMMYFUNCTION("""COMPUTED_VALUE"""),"MSK")</f>
        <v>MSK</v>
      </c>
      <c r="I44" s="33">
        <f>IFERROR(__xludf.DUMMYFUNCTION("""COMPUTED_VALUE"""),10.0)</f>
        <v>10</v>
      </c>
      <c r="J44" s="33">
        <f>IFERROR(__xludf.DUMMYFUNCTION("""COMPUTED_VALUE"""),0.1)</f>
        <v>0.1</v>
      </c>
      <c r="K44" s="33">
        <f>IFERROR(__xludf.DUMMYFUNCTION("""COMPUTED_VALUE"""),10.1)</f>
        <v>10.1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7">
        <f>IFERROR(__xludf.DUMMYFUNCTION("""COMPUTED_VALUE"""),43.0)</f>
        <v>43</v>
      </c>
      <c r="C45" s="27">
        <f>IFERROR(__xludf.DUMMYFUNCTION("""COMPUTED_VALUE"""),43.0)</f>
        <v>43</v>
      </c>
      <c r="D45" s="27">
        <f>IFERROR(__xludf.DUMMYFUNCTION("""COMPUTED_VALUE"""),8.0)</f>
        <v>8</v>
      </c>
      <c r="E45" s="27" t="str">
        <f>IFERROR(__xludf.DUMMYFUNCTION("""COMPUTED_VALUE"""),"Gundars Gūte")</f>
        <v>Gundars Gūte</v>
      </c>
      <c r="F45" s="27" t="str">
        <f>IFERROR(__xludf.DUMMYFUNCTION("""COMPUTED_VALUE"""),"Latvia")</f>
        <v>Latvia</v>
      </c>
      <c r="G45" s="27" t="str">
        <f>IFERROR(__xludf.DUMMYFUNCTION("""COMPUTED_VALUE"""),"BMW E46")</f>
        <v>BMW E46</v>
      </c>
      <c r="H45" s="33"/>
      <c r="I45" s="33">
        <f>IFERROR(__xludf.DUMMYFUNCTION("""COMPUTED_VALUE"""),10.0)</f>
        <v>10</v>
      </c>
      <c r="J45" s="33">
        <f>IFERROR(__xludf.DUMMYFUNCTION("""COMPUTED_VALUE"""),0.1)</f>
        <v>0.1</v>
      </c>
      <c r="K45" s="33">
        <f>IFERROR(__xludf.DUMMYFUNCTION("""COMPUTED_VALUE"""),10.1)</f>
        <v>10.1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7">
        <f>IFERROR(__xludf.DUMMYFUNCTION("""COMPUTED_VALUE"""),44.0)</f>
        <v>44</v>
      </c>
      <c r="C46" s="27">
        <f>IFERROR(__xludf.DUMMYFUNCTION("""COMPUTED_VALUE"""),44.0)</f>
        <v>44</v>
      </c>
      <c r="D46" s="27">
        <f>IFERROR(__xludf.DUMMYFUNCTION("""COMPUTED_VALUE"""),24.0)</f>
        <v>24</v>
      </c>
      <c r="E46" s="27" t="str">
        <f>IFERROR(__xludf.DUMMYFUNCTION("""COMPUTED_VALUE"""),"Dāvis Rastoks")</f>
        <v>Dāvis Rastoks</v>
      </c>
      <c r="F46" s="27" t="str">
        <f>IFERROR(__xludf.DUMMYFUNCTION("""COMPUTED_VALUE"""),"Latvia")</f>
        <v>Latvia</v>
      </c>
      <c r="G46" s="27" t="str">
        <f>IFERROR(__xludf.DUMMYFUNCTION("""COMPUTED_VALUE"""),"BMW E36")</f>
        <v>BMW E36</v>
      </c>
      <c r="H46" s="33"/>
      <c r="I46" s="33">
        <f>IFERROR(__xludf.DUMMYFUNCTION("""COMPUTED_VALUE"""),10.0)</f>
        <v>10</v>
      </c>
      <c r="J46" s="33">
        <f>IFERROR(__xludf.DUMMYFUNCTION("""COMPUTED_VALUE"""),0.1)</f>
        <v>0.1</v>
      </c>
      <c r="K46" s="33">
        <f>IFERROR(__xludf.DUMMYFUNCTION("""COMPUTED_VALUE"""),10.1)</f>
        <v>10.1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7">
        <f>IFERROR(__xludf.DUMMYFUNCTION("""COMPUTED_VALUE"""),45.0)</f>
        <v>45</v>
      </c>
      <c r="C47" s="27">
        <f>IFERROR(__xludf.DUMMYFUNCTION("""COMPUTED_VALUE"""),45.0)</f>
        <v>45</v>
      </c>
      <c r="D47" s="27">
        <f>IFERROR(__xludf.DUMMYFUNCTION("""COMPUTED_VALUE"""),989.0)</f>
        <v>989</v>
      </c>
      <c r="E47" s="27" t="str">
        <f>IFERROR(__xludf.DUMMYFUNCTION("""COMPUTED_VALUE"""),"Rytis Klimašauskas")</f>
        <v>Rytis Klimašauskas</v>
      </c>
      <c r="F47" s="27" t="str">
        <f>IFERROR(__xludf.DUMMYFUNCTION("""COMPUTED_VALUE"""),"Lithuania")</f>
        <v>Lithuania</v>
      </c>
      <c r="G47" s="27" t="str">
        <f>IFERROR(__xludf.DUMMYFUNCTION("""COMPUTED_VALUE"""),"BMW E36")</f>
        <v>BMW E36</v>
      </c>
      <c r="H47" s="33"/>
      <c r="I47" s="33">
        <f>IFERROR(__xludf.DUMMYFUNCTION("""COMPUTED_VALUE"""),10.0)</f>
        <v>10</v>
      </c>
      <c r="J47" s="33">
        <f>IFERROR(__xludf.DUMMYFUNCTION("""COMPUTED_VALUE"""),0.1)</f>
        <v>0.1</v>
      </c>
      <c r="K47" s="33">
        <f>IFERROR(__xludf.DUMMYFUNCTION("""COMPUTED_VALUE"""),10.1)</f>
        <v>10.1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7">
        <f>IFERROR(__xludf.DUMMYFUNCTION("""COMPUTED_VALUE"""),46.0)</f>
        <v>46</v>
      </c>
      <c r="C48" s="27">
        <f>IFERROR(__xludf.DUMMYFUNCTION("""COMPUTED_VALUE"""),46.0)</f>
        <v>46</v>
      </c>
      <c r="D48" s="27">
        <f>IFERROR(__xludf.DUMMYFUNCTION("""COMPUTED_VALUE"""),888.0)</f>
        <v>888</v>
      </c>
      <c r="E48" s="27" t="str">
        <f>IFERROR(__xludf.DUMMYFUNCTION("""COMPUTED_VALUE"""),"Amanzhol Bolekbayev")</f>
        <v>Amanzhol Bolekbayev</v>
      </c>
      <c r="F48" s="27" t="str">
        <f>IFERROR(__xludf.DUMMYFUNCTION("""COMPUTED_VALUE"""),"Kazakhstan")</f>
        <v>Kazakhstan</v>
      </c>
      <c r="G48" s="27" t="str">
        <f>IFERROR(__xludf.DUMMYFUNCTION("""COMPUTED_VALUE"""),"BMW E36")</f>
        <v>BMW E36</v>
      </c>
      <c r="H48" s="33" t="str">
        <f>IFERROR(__xludf.DUMMYFUNCTION("""COMPUTED_VALUE"""),"Ackerman")</f>
        <v>Ackerman</v>
      </c>
      <c r="I48" s="33">
        <f>IFERROR(__xludf.DUMMYFUNCTION("""COMPUTED_VALUE"""),10.0)</f>
        <v>10</v>
      </c>
      <c r="J48" s="33">
        <f>IFERROR(__xludf.DUMMYFUNCTION("""COMPUTED_VALUE"""),0.1)</f>
        <v>0.1</v>
      </c>
      <c r="K48" s="33">
        <f>IFERROR(__xludf.DUMMYFUNCTION("""COMPUTED_VALUE"""),10.1)</f>
        <v>10.1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7">
        <f>IFERROR(__xludf.DUMMYFUNCTION("""COMPUTED_VALUE"""),47.0)</f>
        <v>47</v>
      </c>
      <c r="C49" s="27">
        <f>IFERROR(__xludf.DUMMYFUNCTION("""COMPUTED_VALUE"""),47.0)</f>
        <v>47</v>
      </c>
      <c r="D49" s="27">
        <f>IFERROR(__xludf.DUMMYFUNCTION("""COMPUTED_VALUE"""),369.0)</f>
        <v>369</v>
      </c>
      <c r="E49" s="27" t="str">
        <f>IFERROR(__xludf.DUMMYFUNCTION("""COMPUTED_VALUE"""),"Aivis Bambāns")</f>
        <v>Aivis Bambāns</v>
      </c>
      <c r="F49" s="27" t="str">
        <f>IFERROR(__xludf.DUMMYFUNCTION("""COMPUTED_VALUE"""),"Latvia")</f>
        <v>Latvia</v>
      </c>
      <c r="G49" s="27" t="str">
        <f>IFERROR(__xludf.DUMMYFUNCTION("""COMPUTED_VALUE"""),"BMW E46")</f>
        <v>BMW E46</v>
      </c>
      <c r="H49" s="33" t="str">
        <f>IFERROR(__xludf.DUMMYFUNCTION("""COMPUTED_VALUE"""),"Moist Drift Design")</f>
        <v>Moist Drift Design</v>
      </c>
      <c r="I49" s="33">
        <f>IFERROR(__xludf.DUMMYFUNCTION("""COMPUTED_VALUE"""),10.0)</f>
        <v>10</v>
      </c>
      <c r="J49" s="33">
        <f>IFERROR(__xludf.DUMMYFUNCTION("""COMPUTED_VALUE"""),0.1)</f>
        <v>0.1</v>
      </c>
      <c r="K49" s="33">
        <f>IFERROR(__xludf.DUMMYFUNCTION("""COMPUTED_VALUE"""),10.1)</f>
        <v>10.1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7">
        <f>IFERROR(__xludf.DUMMYFUNCTION("""COMPUTED_VALUE"""),48.0)</f>
        <v>48</v>
      </c>
      <c r="C50" s="27">
        <f>IFERROR(__xludf.DUMMYFUNCTION("""COMPUTED_VALUE"""),48.0)</f>
        <v>48</v>
      </c>
      <c r="D50" s="27">
        <f>IFERROR(__xludf.DUMMYFUNCTION("""COMPUTED_VALUE"""),27.0)</f>
        <v>27</v>
      </c>
      <c r="E50" s="27" t="str">
        <f>IFERROR(__xludf.DUMMYFUNCTION("""COMPUTED_VALUE"""),"juanjo munoz")</f>
        <v>juanjo munoz</v>
      </c>
      <c r="F50" s="27" t="str">
        <f>IFERROR(__xludf.DUMMYFUNCTION("""COMPUTED_VALUE"""),"Spain")</f>
        <v>Spain</v>
      </c>
      <c r="G50" s="27" t="str">
        <f>IFERROR(__xludf.DUMMYFUNCTION("""COMPUTED_VALUE"""),"BMW E46")</f>
        <v>BMW E46</v>
      </c>
      <c r="H50" s="33"/>
      <c r="I50" s="33">
        <f>IFERROR(__xludf.DUMMYFUNCTION("""COMPUTED_VALUE"""),10.0)</f>
        <v>10</v>
      </c>
      <c r="J50" s="33">
        <f>IFERROR(__xludf.DUMMYFUNCTION("""COMPUTED_VALUE"""),0.1)</f>
        <v>0.1</v>
      </c>
      <c r="K50" s="33">
        <f>IFERROR(__xludf.DUMMYFUNCTION("""COMPUTED_VALUE"""),10.1)</f>
        <v>10.1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7">
        <f>IFERROR(__xludf.DUMMYFUNCTION("""COMPUTED_VALUE"""),49.0)</f>
        <v>49</v>
      </c>
      <c r="C51" s="27">
        <f>IFERROR(__xludf.DUMMYFUNCTION("""COMPUTED_VALUE"""),49.0)</f>
        <v>49</v>
      </c>
      <c r="D51" s="27">
        <f>IFERROR(__xludf.DUMMYFUNCTION("""COMPUTED_VALUE"""),64.0)</f>
        <v>64</v>
      </c>
      <c r="E51" s="27" t="str">
        <f>IFERROR(__xludf.DUMMYFUNCTION("""COMPUTED_VALUE"""),"Maciej Flisiński")</f>
        <v>Maciej Flisiński</v>
      </c>
      <c r="F51" s="27" t="str">
        <f>IFERROR(__xludf.DUMMYFUNCTION("""COMPUTED_VALUE"""),"Poland")</f>
        <v>Poland</v>
      </c>
      <c r="G51" s="27" t="str">
        <f>IFERROR(__xludf.DUMMYFUNCTION("""COMPUTED_VALUE"""),"BMW E36")</f>
        <v>BMW E36</v>
      </c>
      <c r="H51" s="33" t="str">
        <f>IFERROR(__xludf.DUMMYFUNCTION("""COMPUTED_VALUE"""),"BSRig")</f>
        <v>BSRig</v>
      </c>
      <c r="I51" s="33">
        <f>IFERROR(__xludf.DUMMYFUNCTION("""COMPUTED_VALUE"""),10.0)</f>
        <v>10</v>
      </c>
      <c r="J51" s="33">
        <f>IFERROR(__xludf.DUMMYFUNCTION("""COMPUTED_VALUE"""),0.1)</f>
        <v>0.1</v>
      </c>
      <c r="K51" s="33">
        <f>IFERROR(__xludf.DUMMYFUNCTION("""COMPUTED_VALUE"""),10.1)</f>
        <v>10.1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7">
        <f>IFERROR(__xludf.DUMMYFUNCTION("""COMPUTED_VALUE"""),50.0)</f>
        <v>50</v>
      </c>
      <c r="C52" s="27">
        <f>IFERROR(__xludf.DUMMYFUNCTION("""COMPUTED_VALUE"""),50.0)</f>
        <v>50</v>
      </c>
      <c r="D52" s="27">
        <f>IFERROR(__xludf.DUMMYFUNCTION("""COMPUTED_VALUE"""),47.0)</f>
        <v>47</v>
      </c>
      <c r="E52" s="27" t="str">
        <f>IFERROR(__xludf.DUMMYFUNCTION("""COMPUTED_VALUE"""),"Dominik Đurin")</f>
        <v>Dominik Đurin</v>
      </c>
      <c r="F52" s="27" t="str">
        <f>IFERROR(__xludf.DUMMYFUNCTION("""COMPUTED_VALUE"""),"Croatia")</f>
        <v>Croatia</v>
      </c>
      <c r="G52" s="27" t="str">
        <f>IFERROR(__xludf.DUMMYFUNCTION("""COMPUTED_VALUE"""),"BMW E46")</f>
        <v>BMW E46</v>
      </c>
      <c r="H52" s="33"/>
      <c r="I52" s="33">
        <f>IFERROR(__xludf.DUMMYFUNCTION("""COMPUTED_VALUE"""),10.0)</f>
        <v>10</v>
      </c>
      <c r="J52" s="33">
        <f>IFERROR(__xludf.DUMMYFUNCTION("""COMPUTED_VALUE"""),0.1)</f>
        <v>0.1</v>
      </c>
      <c r="K52" s="33">
        <f>IFERROR(__xludf.DUMMYFUNCTION("""COMPUTED_VALUE"""),10.1)</f>
        <v>10.1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7">
        <f>IFERROR(__xludf.DUMMYFUNCTION("""COMPUTED_VALUE"""),51.0)</f>
        <v>51</v>
      </c>
      <c r="C53" s="27">
        <f>IFERROR(__xludf.DUMMYFUNCTION("""COMPUTED_VALUE"""),51.0)</f>
        <v>51</v>
      </c>
      <c r="D53" s="27">
        <f>IFERROR(__xludf.DUMMYFUNCTION("""COMPUTED_VALUE"""),175.0)</f>
        <v>175</v>
      </c>
      <c r="E53" s="27" t="str">
        <f>IFERROR(__xludf.DUMMYFUNCTION("""COMPUTED_VALUE"""),"Tõnis Nael")</f>
        <v>Tõnis Nael</v>
      </c>
      <c r="F53" s="27" t="str">
        <f>IFERROR(__xludf.DUMMYFUNCTION("""COMPUTED_VALUE"""),"Estonia")</f>
        <v>Estonia</v>
      </c>
      <c r="G53" s="27" t="str">
        <f>IFERROR(__xludf.DUMMYFUNCTION("""COMPUTED_VALUE"""),"BMW E46")</f>
        <v>BMW E46</v>
      </c>
      <c r="H53" s="33"/>
      <c r="I53" s="33">
        <f>IFERROR(__xludf.DUMMYFUNCTION("""COMPUTED_VALUE"""),10.0)</f>
        <v>10</v>
      </c>
      <c r="J53" s="33">
        <f>IFERROR(__xludf.DUMMYFUNCTION("""COMPUTED_VALUE"""),0.1)</f>
        <v>0.1</v>
      </c>
      <c r="K53" s="33">
        <f>IFERROR(__xludf.DUMMYFUNCTION("""COMPUTED_VALUE"""),10.1)</f>
        <v>10.1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7">
        <f>IFERROR(__xludf.DUMMYFUNCTION("""COMPUTED_VALUE"""),52.0)</f>
        <v>52</v>
      </c>
      <c r="C54" s="27">
        <f>IFERROR(__xludf.DUMMYFUNCTION("""COMPUTED_VALUE"""),52.0)</f>
        <v>52</v>
      </c>
      <c r="D54" s="27" t="str">
        <f>IFERROR(__xludf.DUMMYFUNCTION("""COMPUTED_VALUE"""),"")</f>
        <v/>
      </c>
      <c r="E54" s="27" t="str">
        <f>IFERROR(__xludf.DUMMYFUNCTION("""COMPUTED_VALUE"""),"")</f>
        <v/>
      </c>
      <c r="F54" s="27" t="str">
        <f>IFERROR(__xludf.DUMMYFUNCTION("""COMPUTED_VALUE"""),"")</f>
        <v/>
      </c>
      <c r="G54" s="27" t="str">
        <f>IFERROR(__xludf.DUMMYFUNCTION("""COMPUTED_VALUE"""),"")</f>
        <v/>
      </c>
      <c r="H54" s="33" t="str">
        <f>IFERROR(__xludf.DUMMYFUNCTION("""COMPUTED_VALUE"""),"")</f>
        <v/>
      </c>
      <c r="I54" s="33" t="str">
        <f>IFERROR(__xludf.DUMMYFUNCTION("""COMPUTED_VALUE"""),"")</f>
        <v/>
      </c>
      <c r="J54" s="33" t="str">
        <f>IFERROR(__xludf.DUMMYFUNCTION("""COMPUTED_VALUE"""),"")</f>
        <v/>
      </c>
      <c r="K54" s="33" t="str">
        <f>IFERROR(__xludf.DUMMYFUNCTION("""COMPUTED_VALUE"""),"")</f>
        <v/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7">
        <f>IFERROR(__xludf.DUMMYFUNCTION("""COMPUTED_VALUE"""),53.0)</f>
        <v>53</v>
      </c>
      <c r="C55" s="27">
        <f>IFERROR(__xludf.DUMMYFUNCTION("""COMPUTED_VALUE"""),53.0)</f>
        <v>53</v>
      </c>
      <c r="D55" s="27" t="str">
        <f>IFERROR(__xludf.DUMMYFUNCTION("""COMPUTED_VALUE"""),"")</f>
        <v/>
      </c>
      <c r="E55" s="27" t="str">
        <f>IFERROR(__xludf.DUMMYFUNCTION("""COMPUTED_VALUE"""),"")</f>
        <v/>
      </c>
      <c r="F55" s="27" t="str">
        <f>IFERROR(__xludf.DUMMYFUNCTION("""COMPUTED_VALUE"""),"")</f>
        <v/>
      </c>
      <c r="G55" s="27" t="str">
        <f>IFERROR(__xludf.DUMMYFUNCTION("""COMPUTED_VALUE"""),"")</f>
        <v/>
      </c>
      <c r="H55" s="33" t="str">
        <f>IFERROR(__xludf.DUMMYFUNCTION("""COMPUTED_VALUE"""),"")</f>
        <v/>
      </c>
      <c r="I55" s="33" t="str">
        <f>IFERROR(__xludf.DUMMYFUNCTION("""COMPUTED_VALUE"""),"")</f>
        <v/>
      </c>
      <c r="J55" s="33" t="str">
        <f>IFERROR(__xludf.DUMMYFUNCTION("""COMPUTED_VALUE"""),"")</f>
        <v/>
      </c>
      <c r="K55" s="33" t="str">
        <f>IFERROR(__xludf.DUMMYFUNCTION("""COMPUTED_VALUE"""),"")</f>
        <v/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7">
        <f>IFERROR(__xludf.DUMMYFUNCTION("""COMPUTED_VALUE"""),54.0)</f>
        <v>54</v>
      </c>
      <c r="C56" s="27">
        <f>IFERROR(__xludf.DUMMYFUNCTION("""COMPUTED_VALUE"""),54.0)</f>
        <v>54</v>
      </c>
      <c r="D56" s="27" t="str">
        <f>IFERROR(__xludf.DUMMYFUNCTION("""COMPUTED_VALUE"""),"")</f>
        <v/>
      </c>
      <c r="E56" s="27" t="str">
        <f>IFERROR(__xludf.DUMMYFUNCTION("""COMPUTED_VALUE"""),"")</f>
        <v/>
      </c>
      <c r="F56" s="27" t="str">
        <f>IFERROR(__xludf.DUMMYFUNCTION("""COMPUTED_VALUE"""),"")</f>
        <v/>
      </c>
      <c r="G56" s="27" t="str">
        <f>IFERROR(__xludf.DUMMYFUNCTION("""COMPUTED_VALUE"""),"")</f>
        <v/>
      </c>
      <c r="H56" s="33" t="str">
        <f>IFERROR(__xludf.DUMMYFUNCTION("""COMPUTED_VALUE"""),"")</f>
        <v/>
      </c>
      <c r="I56" s="33" t="str">
        <f>IFERROR(__xludf.DUMMYFUNCTION("""COMPUTED_VALUE"""),"")</f>
        <v/>
      </c>
      <c r="J56" s="33" t="str">
        <f>IFERROR(__xludf.DUMMYFUNCTION("""COMPUTED_VALUE"""),"")</f>
        <v/>
      </c>
      <c r="K56" s="33" t="str">
        <f>IFERROR(__xludf.DUMMYFUNCTION("""COMPUTED_VALUE"""),"")</f>
        <v/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7">
        <f>IFERROR(__xludf.DUMMYFUNCTION("""COMPUTED_VALUE"""),55.0)</f>
        <v>55</v>
      </c>
      <c r="C57" s="27">
        <f>IFERROR(__xludf.DUMMYFUNCTION("""COMPUTED_VALUE"""),55.0)</f>
        <v>55</v>
      </c>
      <c r="D57" s="27" t="str">
        <f>IFERROR(__xludf.DUMMYFUNCTION("""COMPUTED_VALUE"""),"")</f>
        <v/>
      </c>
      <c r="E57" s="27" t="str">
        <f>IFERROR(__xludf.DUMMYFUNCTION("""COMPUTED_VALUE"""),"")</f>
        <v/>
      </c>
      <c r="F57" s="27" t="str">
        <f>IFERROR(__xludf.DUMMYFUNCTION("""COMPUTED_VALUE"""),"")</f>
        <v/>
      </c>
      <c r="G57" s="27" t="str">
        <f>IFERROR(__xludf.DUMMYFUNCTION("""COMPUTED_VALUE"""),"")</f>
        <v/>
      </c>
      <c r="H57" s="33" t="str">
        <f>IFERROR(__xludf.DUMMYFUNCTION("""COMPUTED_VALUE"""),"")</f>
        <v/>
      </c>
      <c r="I57" s="33" t="str">
        <f>IFERROR(__xludf.DUMMYFUNCTION("""COMPUTED_VALUE"""),"")</f>
        <v/>
      </c>
      <c r="J57" s="33" t="str">
        <f>IFERROR(__xludf.DUMMYFUNCTION("""COMPUTED_VALUE"""),"")</f>
        <v/>
      </c>
      <c r="K57" s="33" t="str">
        <f>IFERROR(__xludf.DUMMYFUNCTION("""COMPUTED_VALUE"""),"")</f>
        <v/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7">
        <f>IFERROR(__xludf.DUMMYFUNCTION("""COMPUTED_VALUE"""),56.0)</f>
        <v>56</v>
      </c>
      <c r="C58" s="27">
        <f>IFERROR(__xludf.DUMMYFUNCTION("""COMPUTED_VALUE"""),56.0)</f>
        <v>56</v>
      </c>
      <c r="D58" s="27" t="str">
        <f>IFERROR(__xludf.DUMMYFUNCTION("""COMPUTED_VALUE"""),"")</f>
        <v/>
      </c>
      <c r="E58" s="27" t="str">
        <f>IFERROR(__xludf.DUMMYFUNCTION("""COMPUTED_VALUE"""),"")</f>
        <v/>
      </c>
      <c r="F58" s="27" t="str">
        <f>IFERROR(__xludf.DUMMYFUNCTION("""COMPUTED_VALUE"""),"")</f>
        <v/>
      </c>
      <c r="G58" s="27" t="str">
        <f>IFERROR(__xludf.DUMMYFUNCTION("""COMPUTED_VALUE"""),"")</f>
        <v/>
      </c>
      <c r="H58" s="33" t="str">
        <f>IFERROR(__xludf.DUMMYFUNCTION("""COMPUTED_VALUE"""),"")</f>
        <v/>
      </c>
      <c r="I58" s="33" t="str">
        <f>IFERROR(__xludf.DUMMYFUNCTION("""COMPUTED_VALUE"""),"")</f>
        <v/>
      </c>
      <c r="J58" s="33" t="str">
        <f>IFERROR(__xludf.DUMMYFUNCTION("""COMPUTED_VALUE"""),"")</f>
        <v/>
      </c>
      <c r="K58" s="33" t="str">
        <f>IFERROR(__xludf.DUMMYFUNCTION("""COMPUTED_VALUE"""),"")</f>
        <v/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7">
        <f>IFERROR(__xludf.DUMMYFUNCTION("""COMPUTED_VALUE"""),57.0)</f>
        <v>57</v>
      </c>
      <c r="C59" s="27">
        <f>IFERROR(__xludf.DUMMYFUNCTION("""COMPUTED_VALUE"""),57.0)</f>
        <v>57</v>
      </c>
      <c r="D59" s="27" t="str">
        <f>IFERROR(__xludf.DUMMYFUNCTION("""COMPUTED_VALUE"""),"")</f>
        <v/>
      </c>
      <c r="E59" s="27" t="str">
        <f>IFERROR(__xludf.DUMMYFUNCTION("""COMPUTED_VALUE"""),"")</f>
        <v/>
      </c>
      <c r="F59" s="27" t="str">
        <f>IFERROR(__xludf.DUMMYFUNCTION("""COMPUTED_VALUE"""),"")</f>
        <v/>
      </c>
      <c r="G59" s="27" t="str">
        <f>IFERROR(__xludf.DUMMYFUNCTION("""COMPUTED_VALUE"""),"")</f>
        <v/>
      </c>
      <c r="H59" s="33" t="str">
        <f>IFERROR(__xludf.DUMMYFUNCTION("""COMPUTED_VALUE"""),"")</f>
        <v/>
      </c>
      <c r="I59" s="33" t="str">
        <f>IFERROR(__xludf.DUMMYFUNCTION("""COMPUTED_VALUE"""),"")</f>
        <v/>
      </c>
      <c r="J59" s="33" t="str">
        <f>IFERROR(__xludf.DUMMYFUNCTION("""COMPUTED_VALUE"""),"")</f>
        <v/>
      </c>
      <c r="K59" s="33" t="str">
        <f>IFERROR(__xludf.DUMMYFUNCTION("""COMPUTED_VALUE"""),"")</f>
        <v/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7">
        <f>IFERROR(__xludf.DUMMYFUNCTION("""COMPUTED_VALUE"""),58.0)</f>
        <v>58</v>
      </c>
      <c r="C60" s="27">
        <f>IFERROR(__xludf.DUMMYFUNCTION("""COMPUTED_VALUE"""),58.0)</f>
        <v>58</v>
      </c>
      <c r="D60" s="27" t="str">
        <f>IFERROR(__xludf.DUMMYFUNCTION("""COMPUTED_VALUE"""),"")</f>
        <v/>
      </c>
      <c r="E60" s="27" t="str">
        <f>IFERROR(__xludf.DUMMYFUNCTION("""COMPUTED_VALUE"""),"")</f>
        <v/>
      </c>
      <c r="F60" s="27" t="str">
        <f>IFERROR(__xludf.DUMMYFUNCTION("""COMPUTED_VALUE"""),"")</f>
        <v/>
      </c>
      <c r="G60" s="27" t="str">
        <f>IFERROR(__xludf.DUMMYFUNCTION("""COMPUTED_VALUE"""),"")</f>
        <v/>
      </c>
      <c r="H60" s="33" t="str">
        <f>IFERROR(__xludf.DUMMYFUNCTION("""COMPUTED_VALUE"""),"")</f>
        <v/>
      </c>
      <c r="I60" s="33" t="str">
        <f>IFERROR(__xludf.DUMMYFUNCTION("""COMPUTED_VALUE"""),"")</f>
        <v/>
      </c>
      <c r="J60" s="33" t="str">
        <f>IFERROR(__xludf.DUMMYFUNCTION("""COMPUTED_VALUE"""),"")</f>
        <v/>
      </c>
      <c r="K60" s="33" t="str">
        <f>IFERROR(__xludf.DUMMYFUNCTION("""COMPUTED_VALUE"""),"")</f>
        <v/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7">
        <f>IFERROR(__xludf.DUMMYFUNCTION("""COMPUTED_VALUE"""),59.0)</f>
        <v>59</v>
      </c>
      <c r="C61" s="27">
        <f>IFERROR(__xludf.DUMMYFUNCTION("""COMPUTED_VALUE"""),59.0)</f>
        <v>59</v>
      </c>
      <c r="D61" s="27" t="str">
        <f>IFERROR(__xludf.DUMMYFUNCTION("""COMPUTED_VALUE"""),"")</f>
        <v/>
      </c>
      <c r="E61" s="27" t="str">
        <f>IFERROR(__xludf.DUMMYFUNCTION("""COMPUTED_VALUE"""),"")</f>
        <v/>
      </c>
      <c r="F61" s="27" t="str">
        <f>IFERROR(__xludf.DUMMYFUNCTION("""COMPUTED_VALUE"""),"")</f>
        <v/>
      </c>
      <c r="G61" s="27" t="str">
        <f>IFERROR(__xludf.DUMMYFUNCTION("""COMPUTED_VALUE"""),"")</f>
        <v/>
      </c>
      <c r="H61" s="33" t="str">
        <f>IFERROR(__xludf.DUMMYFUNCTION("""COMPUTED_VALUE"""),"")</f>
        <v/>
      </c>
      <c r="I61" s="33" t="str">
        <f>IFERROR(__xludf.DUMMYFUNCTION("""COMPUTED_VALUE"""),"")</f>
        <v/>
      </c>
      <c r="J61" s="33" t="str">
        <f>IFERROR(__xludf.DUMMYFUNCTION("""COMPUTED_VALUE"""),"")</f>
        <v/>
      </c>
      <c r="K61" s="33" t="str">
        <f>IFERROR(__xludf.DUMMYFUNCTION("""COMPUTED_VALUE"""),"")</f>
        <v/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7">
        <f>IFERROR(__xludf.DUMMYFUNCTION("""COMPUTED_VALUE"""),60.0)</f>
        <v>60</v>
      </c>
      <c r="C62" s="27">
        <f>IFERROR(__xludf.DUMMYFUNCTION("""COMPUTED_VALUE"""),60.0)</f>
        <v>60</v>
      </c>
      <c r="D62" s="27" t="str">
        <f>IFERROR(__xludf.DUMMYFUNCTION("""COMPUTED_VALUE"""),"")</f>
        <v/>
      </c>
      <c r="E62" s="27" t="str">
        <f>IFERROR(__xludf.DUMMYFUNCTION("""COMPUTED_VALUE"""),"")</f>
        <v/>
      </c>
      <c r="F62" s="27" t="str">
        <f>IFERROR(__xludf.DUMMYFUNCTION("""COMPUTED_VALUE"""),"")</f>
        <v/>
      </c>
      <c r="G62" s="27" t="str">
        <f>IFERROR(__xludf.DUMMYFUNCTION("""COMPUTED_VALUE"""),"")</f>
        <v/>
      </c>
      <c r="H62" s="33" t="str">
        <f>IFERROR(__xludf.DUMMYFUNCTION("""COMPUTED_VALUE"""),"")</f>
        <v/>
      </c>
      <c r="I62" s="33" t="str">
        <f>IFERROR(__xludf.DUMMYFUNCTION("""COMPUTED_VALUE"""),"")</f>
        <v/>
      </c>
      <c r="J62" s="33" t="str">
        <f>IFERROR(__xludf.DUMMYFUNCTION("""COMPUTED_VALUE"""),"")</f>
        <v/>
      </c>
      <c r="K62" s="33" t="str">
        <f>IFERROR(__xludf.DUMMYFUNCTION("""COMPUTED_VALUE"""),"")</f>
        <v/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7">
        <f>IFERROR(__xludf.DUMMYFUNCTION("""COMPUTED_VALUE"""),61.0)</f>
        <v>61</v>
      </c>
      <c r="C63" s="27">
        <f>IFERROR(__xludf.DUMMYFUNCTION("""COMPUTED_VALUE"""),61.0)</f>
        <v>61</v>
      </c>
      <c r="D63" s="27" t="str">
        <f>IFERROR(__xludf.DUMMYFUNCTION("""COMPUTED_VALUE"""),"")</f>
        <v/>
      </c>
      <c r="E63" s="27" t="str">
        <f>IFERROR(__xludf.DUMMYFUNCTION("""COMPUTED_VALUE"""),"")</f>
        <v/>
      </c>
      <c r="F63" s="27" t="str">
        <f>IFERROR(__xludf.DUMMYFUNCTION("""COMPUTED_VALUE"""),"")</f>
        <v/>
      </c>
      <c r="G63" s="27" t="str">
        <f>IFERROR(__xludf.DUMMYFUNCTION("""COMPUTED_VALUE"""),"")</f>
        <v/>
      </c>
      <c r="H63" s="33" t="str">
        <f>IFERROR(__xludf.DUMMYFUNCTION("""COMPUTED_VALUE"""),"")</f>
        <v/>
      </c>
      <c r="I63" s="33" t="str">
        <f>IFERROR(__xludf.DUMMYFUNCTION("""COMPUTED_VALUE"""),"")</f>
        <v/>
      </c>
      <c r="J63" s="33" t="str">
        <f>IFERROR(__xludf.DUMMYFUNCTION("""COMPUTED_VALUE"""),"")</f>
        <v/>
      </c>
      <c r="K63" s="33" t="str">
        <f>IFERROR(__xludf.DUMMYFUNCTION("""COMPUTED_VALUE"""),"")</f>
        <v/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7">
        <f>IFERROR(__xludf.DUMMYFUNCTION("""COMPUTED_VALUE"""),62.0)</f>
        <v>62</v>
      </c>
      <c r="C64" s="27">
        <f>IFERROR(__xludf.DUMMYFUNCTION("""COMPUTED_VALUE"""),62.0)</f>
        <v>62</v>
      </c>
      <c r="D64" s="27" t="str">
        <f>IFERROR(__xludf.DUMMYFUNCTION("""COMPUTED_VALUE"""),"")</f>
        <v/>
      </c>
      <c r="E64" s="27" t="str">
        <f>IFERROR(__xludf.DUMMYFUNCTION("""COMPUTED_VALUE"""),"")</f>
        <v/>
      </c>
      <c r="F64" s="27" t="str">
        <f>IFERROR(__xludf.DUMMYFUNCTION("""COMPUTED_VALUE"""),"")</f>
        <v/>
      </c>
      <c r="G64" s="27" t="str">
        <f>IFERROR(__xludf.DUMMYFUNCTION("""COMPUTED_VALUE"""),"")</f>
        <v/>
      </c>
      <c r="H64" s="33" t="str">
        <f>IFERROR(__xludf.DUMMYFUNCTION("""COMPUTED_VALUE"""),"")</f>
        <v/>
      </c>
      <c r="I64" s="33" t="str">
        <f>IFERROR(__xludf.DUMMYFUNCTION("""COMPUTED_VALUE"""),"")</f>
        <v/>
      </c>
      <c r="J64" s="33" t="str">
        <f>IFERROR(__xludf.DUMMYFUNCTION("""COMPUTED_VALUE"""),"")</f>
        <v/>
      </c>
      <c r="K64" s="33" t="str">
        <f>IFERROR(__xludf.DUMMYFUNCTION("""COMPUTED_VALUE"""),"")</f>
        <v/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7">
        <f>IFERROR(__xludf.DUMMYFUNCTION("""COMPUTED_VALUE"""),63.0)</f>
        <v>63</v>
      </c>
      <c r="C65" s="27">
        <f>IFERROR(__xludf.DUMMYFUNCTION("""COMPUTED_VALUE"""),63.0)</f>
        <v>63</v>
      </c>
      <c r="D65" s="27" t="str">
        <f>IFERROR(__xludf.DUMMYFUNCTION("""COMPUTED_VALUE"""),"")</f>
        <v/>
      </c>
      <c r="E65" s="27" t="str">
        <f>IFERROR(__xludf.DUMMYFUNCTION("""COMPUTED_VALUE"""),"")</f>
        <v/>
      </c>
      <c r="F65" s="27" t="str">
        <f>IFERROR(__xludf.DUMMYFUNCTION("""COMPUTED_VALUE"""),"")</f>
        <v/>
      </c>
      <c r="G65" s="27" t="str">
        <f>IFERROR(__xludf.DUMMYFUNCTION("""COMPUTED_VALUE"""),"")</f>
        <v/>
      </c>
      <c r="H65" s="33" t="str">
        <f>IFERROR(__xludf.DUMMYFUNCTION("""COMPUTED_VALUE"""),"")</f>
        <v/>
      </c>
      <c r="I65" s="33" t="str">
        <f>IFERROR(__xludf.DUMMYFUNCTION("""COMPUTED_VALUE"""),"")</f>
        <v/>
      </c>
      <c r="J65" s="33" t="str">
        <f>IFERROR(__xludf.DUMMYFUNCTION("""COMPUTED_VALUE"""),"")</f>
        <v/>
      </c>
      <c r="K65" s="33" t="str">
        <f>IFERROR(__xludf.DUMMYFUNCTION("""COMPUTED_VALUE"""),"")</f>
        <v/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7">
        <f>IFERROR(__xludf.DUMMYFUNCTION("""COMPUTED_VALUE"""),64.0)</f>
        <v>64</v>
      </c>
      <c r="C66" s="27">
        <f>IFERROR(__xludf.DUMMYFUNCTION("""COMPUTED_VALUE"""),64.0)</f>
        <v>64</v>
      </c>
      <c r="D66" s="27" t="str">
        <f>IFERROR(__xludf.DUMMYFUNCTION("""COMPUTED_VALUE"""),"")</f>
        <v/>
      </c>
      <c r="E66" s="27" t="str">
        <f>IFERROR(__xludf.DUMMYFUNCTION("""COMPUTED_VALUE"""),"")</f>
        <v/>
      </c>
      <c r="F66" s="27" t="str">
        <f>IFERROR(__xludf.DUMMYFUNCTION("""COMPUTED_VALUE"""),"")</f>
        <v/>
      </c>
      <c r="G66" s="27" t="str">
        <f>IFERROR(__xludf.DUMMYFUNCTION("""COMPUTED_VALUE"""),"")</f>
        <v/>
      </c>
      <c r="H66" s="33" t="str">
        <f>IFERROR(__xludf.DUMMYFUNCTION("""COMPUTED_VALUE"""),"")</f>
        <v/>
      </c>
      <c r="I66" s="33" t="str">
        <f>IFERROR(__xludf.DUMMYFUNCTION("""COMPUTED_VALUE"""),"")</f>
        <v/>
      </c>
      <c r="J66" s="33" t="str">
        <f>IFERROR(__xludf.DUMMYFUNCTION("""COMPUTED_VALUE"""),"")</f>
        <v/>
      </c>
      <c r="K66" s="33" t="str">
        <f>IFERROR(__xludf.DUMMYFUNCTION("""COMPUTED_VALUE"""),"")</f>
        <v/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4"/>
      <c r="C67" s="4"/>
      <c r="D67" s="4"/>
      <c r="E67" s="4"/>
      <c r="F67" s="4"/>
      <c r="G67" s="4"/>
      <c r="H67" s="6"/>
      <c r="I67" s="6"/>
      <c r="J67" s="6"/>
      <c r="K67" s="6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4"/>
      <c r="C68" s="4"/>
      <c r="D68" s="4"/>
      <c r="E68" s="4"/>
      <c r="F68" s="4"/>
      <c r="G68" s="4"/>
      <c r="H68" s="6"/>
      <c r="I68" s="6"/>
      <c r="J68" s="6"/>
      <c r="K68" s="6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4"/>
      <c r="C69" s="4"/>
      <c r="D69" s="4"/>
      <c r="E69" s="4"/>
      <c r="F69" s="4"/>
      <c r="G69" s="4"/>
      <c r="H69" s="6"/>
      <c r="I69" s="6"/>
      <c r="J69" s="6"/>
      <c r="K69" s="6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4"/>
      <c r="C70" s="4"/>
      <c r="D70" s="4"/>
      <c r="E70" s="4"/>
      <c r="F70" s="4"/>
      <c r="G70" s="4"/>
      <c r="H70" s="6"/>
      <c r="I70" s="6"/>
      <c r="J70" s="6"/>
      <c r="K70" s="6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4"/>
      <c r="C71" s="4"/>
      <c r="D71" s="4"/>
      <c r="E71" s="4"/>
      <c r="F71" s="4"/>
      <c r="G71" s="4"/>
      <c r="H71" s="6"/>
      <c r="I71" s="6"/>
      <c r="J71" s="6"/>
      <c r="K71" s="6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4"/>
      <c r="C72" s="4"/>
      <c r="D72" s="4"/>
      <c r="E72" s="4"/>
      <c r="F72" s="4"/>
      <c r="G72" s="4"/>
      <c r="H72" s="6"/>
      <c r="I72" s="6"/>
      <c r="J72" s="6"/>
      <c r="K72" s="6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4"/>
      <c r="C73" s="4"/>
      <c r="D73" s="4"/>
      <c r="E73" s="4"/>
      <c r="F73" s="4"/>
      <c r="G73" s="4"/>
      <c r="H73" s="6"/>
      <c r="I73" s="6"/>
      <c r="J73" s="6"/>
      <c r="K73" s="6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4"/>
      <c r="C74" s="4"/>
      <c r="D74" s="4"/>
      <c r="E74" s="4"/>
      <c r="F74" s="4"/>
      <c r="G74" s="4"/>
      <c r="H74" s="6"/>
      <c r="I74" s="6"/>
      <c r="J74" s="6"/>
      <c r="K74" s="6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4"/>
      <c r="C75" s="4"/>
      <c r="D75" s="4"/>
      <c r="E75" s="4"/>
      <c r="F75" s="4"/>
      <c r="G75" s="4"/>
      <c r="H75" s="6"/>
      <c r="I75" s="6"/>
      <c r="J75" s="6"/>
      <c r="K75" s="6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4"/>
      <c r="C76" s="4"/>
      <c r="D76" s="4"/>
      <c r="E76" s="4"/>
      <c r="F76" s="4"/>
      <c r="G76" s="4"/>
      <c r="H76" s="6"/>
      <c r="I76" s="6"/>
      <c r="J76" s="6"/>
      <c r="K76" s="6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4"/>
      <c r="C77" s="4"/>
      <c r="D77" s="4"/>
      <c r="E77" s="4"/>
      <c r="F77" s="4"/>
      <c r="G77" s="4"/>
      <c r="H77" s="6"/>
      <c r="I77" s="6"/>
      <c r="J77" s="6"/>
      <c r="K77" s="6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4"/>
      <c r="C78" s="4"/>
      <c r="D78" s="4"/>
      <c r="E78" s="4"/>
      <c r="F78" s="4"/>
      <c r="G78" s="4"/>
      <c r="H78" s="6"/>
      <c r="I78" s="6"/>
      <c r="J78" s="6"/>
      <c r="K78" s="6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4"/>
      <c r="C79" s="4"/>
      <c r="D79" s="4"/>
      <c r="E79" s="4"/>
      <c r="F79" s="4"/>
      <c r="G79" s="4"/>
      <c r="H79" s="6"/>
      <c r="I79" s="6"/>
      <c r="J79" s="6"/>
      <c r="K79" s="6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4"/>
      <c r="C80" s="4"/>
      <c r="D80" s="4"/>
      <c r="E80" s="4"/>
      <c r="F80" s="4"/>
      <c r="G80" s="4"/>
      <c r="H80" s="6"/>
      <c r="I80" s="6"/>
      <c r="J80" s="6"/>
      <c r="K80" s="6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4"/>
      <c r="C81" s="4"/>
      <c r="D81" s="4"/>
      <c r="E81" s="4"/>
      <c r="F81" s="4"/>
      <c r="G81" s="4"/>
      <c r="H81" s="6"/>
      <c r="I81" s="6"/>
      <c r="J81" s="6"/>
      <c r="K81" s="6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4"/>
      <c r="C82" s="4"/>
      <c r="D82" s="4"/>
      <c r="E82" s="4"/>
      <c r="F82" s="4"/>
      <c r="G82" s="4"/>
      <c r="H82" s="6"/>
      <c r="I82" s="6"/>
      <c r="J82" s="6"/>
      <c r="K82" s="6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4"/>
      <c r="C83" s="4"/>
      <c r="D83" s="4"/>
      <c r="E83" s="4"/>
      <c r="F83" s="4"/>
      <c r="G83" s="4"/>
      <c r="H83" s="6"/>
      <c r="I83" s="6"/>
      <c r="J83" s="6"/>
      <c r="K83" s="6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4"/>
      <c r="C84" s="4"/>
      <c r="D84" s="4"/>
      <c r="E84" s="4"/>
      <c r="F84" s="4"/>
      <c r="G84" s="4"/>
      <c r="H84" s="6"/>
      <c r="I84" s="6"/>
      <c r="J84" s="6"/>
      <c r="K84" s="6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4"/>
      <c r="C85" s="4"/>
      <c r="D85" s="4"/>
      <c r="E85" s="4"/>
      <c r="F85" s="4"/>
      <c r="G85" s="4"/>
      <c r="H85" s="6"/>
      <c r="I85" s="6"/>
      <c r="J85" s="6"/>
      <c r="K85" s="6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4"/>
      <c r="C86" s="4"/>
      <c r="D86" s="4"/>
      <c r="E86" s="4"/>
      <c r="F86" s="4"/>
      <c r="G86" s="4"/>
      <c r="H86" s="6"/>
      <c r="I86" s="6"/>
      <c r="J86" s="6"/>
      <c r="K86" s="6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4"/>
      <c r="C87" s="4"/>
      <c r="D87" s="4"/>
      <c r="E87" s="4"/>
      <c r="F87" s="4"/>
      <c r="G87" s="4"/>
      <c r="H87" s="6"/>
      <c r="I87" s="6"/>
      <c r="J87" s="6"/>
      <c r="K87" s="6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4"/>
      <c r="C88" s="4"/>
      <c r="D88" s="4"/>
      <c r="E88" s="4"/>
      <c r="F88" s="4"/>
      <c r="G88" s="4"/>
      <c r="H88" s="6"/>
      <c r="I88" s="6"/>
      <c r="J88" s="6"/>
      <c r="K88" s="6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4"/>
      <c r="C89" s="4"/>
      <c r="D89" s="4"/>
      <c r="E89" s="4"/>
      <c r="F89" s="4"/>
      <c r="G89" s="4"/>
      <c r="H89" s="6"/>
      <c r="I89" s="6"/>
      <c r="J89" s="6"/>
      <c r="K89" s="6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4"/>
      <c r="C90" s="4"/>
      <c r="D90" s="4"/>
      <c r="E90" s="4"/>
      <c r="F90" s="4"/>
      <c r="G90" s="4"/>
      <c r="H90" s="6"/>
      <c r="I90" s="6"/>
      <c r="J90" s="6"/>
      <c r="K90" s="6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4"/>
      <c r="C91" s="4"/>
      <c r="D91" s="4"/>
      <c r="E91" s="4"/>
      <c r="F91" s="4"/>
      <c r="G91" s="4"/>
      <c r="H91" s="6"/>
      <c r="I91" s="6"/>
      <c r="J91" s="6"/>
      <c r="K91" s="6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4"/>
      <c r="C92" s="4"/>
      <c r="D92" s="4"/>
      <c r="E92" s="4"/>
      <c r="F92" s="4"/>
      <c r="G92" s="4"/>
      <c r="H92" s="6"/>
      <c r="I92" s="6"/>
      <c r="J92" s="6"/>
      <c r="K92" s="6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4"/>
      <c r="C93" s="4"/>
      <c r="D93" s="4"/>
      <c r="E93" s="4"/>
      <c r="F93" s="4"/>
      <c r="G93" s="4"/>
      <c r="H93" s="6"/>
      <c r="I93" s="6"/>
      <c r="J93" s="6"/>
      <c r="K93" s="6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4"/>
      <c r="C94" s="4"/>
      <c r="D94" s="4"/>
      <c r="E94" s="4"/>
      <c r="F94" s="4"/>
      <c r="G94" s="4"/>
      <c r="H94" s="6"/>
      <c r="I94" s="6"/>
      <c r="J94" s="6"/>
      <c r="K94" s="6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4"/>
      <c r="C95" s="4"/>
      <c r="D95" s="4"/>
      <c r="E95" s="4"/>
      <c r="F95" s="4"/>
      <c r="G95" s="4"/>
      <c r="H95" s="6"/>
      <c r="I95" s="6"/>
      <c r="J95" s="6"/>
      <c r="K95" s="6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4"/>
      <c r="C96" s="4"/>
      <c r="D96" s="4"/>
      <c r="E96" s="4"/>
      <c r="F96" s="4"/>
      <c r="G96" s="4"/>
      <c r="H96" s="6"/>
      <c r="I96" s="6"/>
      <c r="J96" s="6"/>
      <c r="K96" s="6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4"/>
      <c r="C97" s="4"/>
      <c r="D97" s="4"/>
      <c r="E97" s="4"/>
      <c r="F97" s="4"/>
      <c r="G97" s="4"/>
      <c r="H97" s="6"/>
      <c r="I97" s="6"/>
      <c r="J97" s="6"/>
      <c r="K97" s="6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4"/>
      <c r="C98" s="4"/>
      <c r="D98" s="4"/>
      <c r="E98" s="4"/>
      <c r="F98" s="4"/>
      <c r="G98" s="4"/>
      <c r="H98" s="6"/>
      <c r="I98" s="6"/>
      <c r="J98" s="6"/>
      <c r="K98" s="6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4"/>
      <c r="C99" s="4"/>
      <c r="D99" s="4"/>
      <c r="E99" s="4"/>
      <c r="F99" s="4"/>
      <c r="G99" s="4"/>
      <c r="H99" s="6"/>
      <c r="I99" s="6"/>
      <c r="J99" s="6"/>
      <c r="K99" s="6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4"/>
      <c r="C100" s="4"/>
      <c r="D100" s="4"/>
      <c r="E100" s="4"/>
      <c r="F100" s="4"/>
      <c r="G100" s="4"/>
      <c r="H100" s="6"/>
      <c r="I100" s="6"/>
      <c r="J100" s="6"/>
      <c r="K100" s="6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4"/>
      <c r="C101" s="4"/>
      <c r="D101" s="4"/>
      <c r="E101" s="4"/>
      <c r="F101" s="4"/>
      <c r="G101" s="4"/>
      <c r="H101" s="6"/>
      <c r="I101" s="6"/>
      <c r="J101" s="6"/>
      <c r="K101" s="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4"/>
      <c r="C102" s="4"/>
      <c r="D102" s="4"/>
      <c r="E102" s="4"/>
      <c r="F102" s="4"/>
      <c r="G102" s="4"/>
      <c r="H102" s="6"/>
      <c r="I102" s="6"/>
      <c r="J102" s="6"/>
      <c r="K102" s="6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4"/>
      <c r="C103" s="4"/>
      <c r="D103" s="4"/>
      <c r="E103" s="4"/>
      <c r="F103" s="4"/>
      <c r="G103" s="4"/>
      <c r="H103" s="6"/>
      <c r="I103" s="6"/>
      <c r="J103" s="6"/>
      <c r="K103" s="6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4"/>
      <c r="C104" s="4"/>
      <c r="D104" s="4"/>
      <c r="E104" s="4"/>
      <c r="F104" s="4"/>
      <c r="G104" s="4"/>
      <c r="H104" s="6"/>
      <c r="I104" s="6"/>
      <c r="J104" s="6"/>
      <c r="K104" s="6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4"/>
      <c r="C105" s="4"/>
      <c r="D105" s="4"/>
      <c r="E105" s="4"/>
      <c r="F105" s="4"/>
      <c r="G105" s="4"/>
      <c r="H105" s="6"/>
      <c r="I105" s="6"/>
      <c r="J105" s="6"/>
      <c r="K105" s="6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4"/>
      <c r="C106" s="4"/>
      <c r="D106" s="4"/>
      <c r="E106" s="4"/>
      <c r="F106" s="4"/>
      <c r="G106" s="4"/>
      <c r="H106" s="6"/>
      <c r="I106" s="6"/>
      <c r="J106" s="6"/>
      <c r="K106" s="6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4"/>
      <c r="C107" s="4"/>
      <c r="D107" s="4"/>
      <c r="E107" s="4"/>
      <c r="F107" s="4"/>
      <c r="G107" s="4"/>
      <c r="H107" s="6"/>
      <c r="I107" s="6"/>
      <c r="J107" s="6"/>
      <c r="K107" s="6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4"/>
      <c r="C108" s="4"/>
      <c r="D108" s="4"/>
      <c r="E108" s="4"/>
      <c r="F108" s="4"/>
      <c r="G108" s="4"/>
      <c r="H108" s="6"/>
      <c r="I108" s="6"/>
      <c r="J108" s="6"/>
      <c r="K108" s="6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4"/>
      <c r="C109" s="4"/>
      <c r="D109" s="4"/>
      <c r="E109" s="4"/>
      <c r="F109" s="4"/>
      <c r="G109" s="4"/>
      <c r="H109" s="6"/>
      <c r="I109" s="6"/>
      <c r="J109" s="6"/>
      <c r="K109" s="6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4"/>
      <c r="C110" s="4"/>
      <c r="D110" s="4"/>
      <c r="E110" s="4"/>
      <c r="F110" s="4"/>
      <c r="G110" s="4"/>
      <c r="H110" s="6"/>
      <c r="I110" s="6"/>
      <c r="J110" s="6"/>
      <c r="K110" s="6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4"/>
      <c r="C111" s="4"/>
      <c r="D111" s="4"/>
      <c r="E111" s="4"/>
      <c r="F111" s="4"/>
      <c r="G111" s="4"/>
      <c r="H111" s="6"/>
      <c r="I111" s="6"/>
      <c r="J111" s="6"/>
      <c r="K111" s="6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4"/>
      <c r="C112" s="4"/>
      <c r="D112" s="4"/>
      <c r="E112" s="4"/>
      <c r="F112" s="4"/>
      <c r="G112" s="4"/>
      <c r="H112" s="6"/>
      <c r="I112" s="6"/>
      <c r="J112" s="6"/>
      <c r="K112" s="6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4"/>
      <c r="C113" s="4"/>
      <c r="D113" s="4"/>
      <c r="E113" s="4"/>
      <c r="F113" s="4"/>
      <c r="G113" s="4"/>
      <c r="H113" s="6"/>
      <c r="I113" s="6"/>
      <c r="J113" s="6"/>
      <c r="K113" s="6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4"/>
      <c r="C114" s="4"/>
      <c r="D114" s="4"/>
      <c r="E114" s="4"/>
      <c r="F114" s="4"/>
      <c r="G114" s="4"/>
      <c r="H114" s="6"/>
      <c r="I114" s="6"/>
      <c r="J114" s="6"/>
      <c r="K114" s="6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4"/>
      <c r="C115" s="4"/>
      <c r="D115" s="4"/>
      <c r="E115" s="4"/>
      <c r="F115" s="4"/>
      <c r="G115" s="4"/>
      <c r="H115" s="6"/>
      <c r="I115" s="6"/>
      <c r="J115" s="6"/>
      <c r="K115" s="6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4"/>
      <c r="C116" s="4"/>
      <c r="D116" s="4"/>
      <c r="E116" s="4"/>
      <c r="F116" s="4"/>
      <c r="G116" s="4"/>
      <c r="H116" s="6"/>
      <c r="I116" s="6"/>
      <c r="J116" s="6"/>
      <c r="K116" s="6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4"/>
      <c r="C117" s="4"/>
      <c r="D117" s="4"/>
      <c r="E117" s="4"/>
      <c r="F117" s="4"/>
      <c r="G117" s="4"/>
      <c r="H117" s="6"/>
      <c r="I117" s="6"/>
      <c r="J117" s="6"/>
      <c r="K117" s="6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4"/>
      <c r="C118" s="4"/>
      <c r="D118" s="4"/>
      <c r="E118" s="4"/>
      <c r="F118" s="4"/>
      <c r="G118" s="4"/>
      <c r="H118" s="6"/>
      <c r="I118" s="6"/>
      <c r="J118" s="6"/>
      <c r="K118" s="6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4"/>
      <c r="C119" s="4"/>
      <c r="D119" s="4"/>
      <c r="E119" s="4"/>
      <c r="F119" s="4"/>
      <c r="G119" s="4"/>
      <c r="H119" s="6"/>
      <c r="I119" s="6"/>
      <c r="J119" s="6"/>
      <c r="K119" s="6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4"/>
      <c r="C120" s="4"/>
      <c r="D120" s="4"/>
      <c r="E120" s="4"/>
      <c r="F120" s="4"/>
      <c r="G120" s="4"/>
      <c r="H120" s="6"/>
      <c r="I120" s="6"/>
      <c r="J120" s="6"/>
      <c r="K120" s="6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4"/>
      <c r="C121" s="4"/>
      <c r="D121" s="4"/>
      <c r="E121" s="4"/>
      <c r="F121" s="4"/>
      <c r="G121" s="4"/>
      <c r="H121" s="6"/>
      <c r="I121" s="6"/>
      <c r="J121" s="6"/>
      <c r="K121" s="6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4"/>
      <c r="C122" s="4"/>
      <c r="D122" s="4"/>
      <c r="E122" s="4"/>
      <c r="F122" s="4"/>
      <c r="G122" s="4"/>
      <c r="H122" s="6"/>
      <c r="I122" s="6"/>
      <c r="J122" s="6"/>
      <c r="K122" s="6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4"/>
      <c r="C123" s="4"/>
      <c r="D123" s="4"/>
      <c r="E123" s="4"/>
      <c r="F123" s="4"/>
      <c r="G123" s="4"/>
      <c r="H123" s="6"/>
      <c r="I123" s="6"/>
      <c r="J123" s="6"/>
      <c r="K123" s="6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4"/>
      <c r="C124" s="4"/>
      <c r="D124" s="4"/>
      <c r="E124" s="4"/>
      <c r="F124" s="4"/>
      <c r="G124" s="4"/>
      <c r="H124" s="6"/>
      <c r="I124" s="6"/>
      <c r="J124" s="6"/>
      <c r="K124" s="6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4"/>
      <c r="C125" s="4"/>
      <c r="D125" s="4"/>
      <c r="E125" s="4"/>
      <c r="F125" s="4"/>
      <c r="G125" s="4"/>
      <c r="H125" s="6"/>
      <c r="I125" s="6"/>
      <c r="J125" s="6"/>
      <c r="K125" s="6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4"/>
      <c r="C126" s="4"/>
      <c r="D126" s="4"/>
      <c r="E126" s="4"/>
      <c r="F126" s="4"/>
      <c r="G126" s="4"/>
      <c r="H126" s="6"/>
      <c r="I126" s="6"/>
      <c r="J126" s="6"/>
      <c r="K126" s="6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4"/>
      <c r="C127" s="4"/>
      <c r="D127" s="4"/>
      <c r="E127" s="4"/>
      <c r="F127" s="4"/>
      <c r="G127" s="4"/>
      <c r="H127" s="6"/>
      <c r="I127" s="6"/>
      <c r="J127" s="6"/>
      <c r="K127" s="6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4"/>
      <c r="C128" s="4"/>
      <c r="D128" s="4"/>
      <c r="E128" s="4"/>
      <c r="F128" s="4"/>
      <c r="G128" s="4"/>
      <c r="H128" s="6"/>
      <c r="I128" s="6"/>
      <c r="J128" s="6"/>
      <c r="K128" s="6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4"/>
      <c r="C129" s="4"/>
      <c r="D129" s="4"/>
      <c r="E129" s="4"/>
      <c r="F129" s="4"/>
      <c r="G129" s="4"/>
      <c r="H129" s="6"/>
      <c r="I129" s="6"/>
      <c r="J129" s="6"/>
      <c r="K129" s="6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4"/>
      <c r="C130" s="4"/>
      <c r="D130" s="4"/>
      <c r="E130" s="4"/>
      <c r="F130" s="4"/>
      <c r="G130" s="4"/>
      <c r="H130" s="6"/>
      <c r="I130" s="6"/>
      <c r="J130" s="6"/>
      <c r="K130" s="6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4"/>
      <c r="C131" s="4"/>
      <c r="D131" s="4"/>
      <c r="E131" s="4"/>
      <c r="F131" s="4"/>
      <c r="G131" s="4"/>
      <c r="H131" s="6"/>
      <c r="I131" s="6"/>
      <c r="J131" s="6"/>
      <c r="K131" s="6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4"/>
      <c r="C132" s="4"/>
      <c r="D132" s="4"/>
      <c r="E132" s="4"/>
      <c r="F132" s="4"/>
      <c r="G132" s="4"/>
      <c r="H132" s="6"/>
      <c r="I132" s="6"/>
      <c r="J132" s="6"/>
      <c r="K132" s="6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4"/>
      <c r="C133" s="4"/>
      <c r="D133" s="4"/>
      <c r="E133" s="4"/>
      <c r="F133" s="4"/>
      <c r="G133" s="4"/>
      <c r="H133" s="6"/>
      <c r="I133" s="6"/>
      <c r="J133" s="6"/>
      <c r="K133" s="6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4"/>
      <c r="C134" s="4"/>
      <c r="D134" s="4"/>
      <c r="E134" s="4"/>
      <c r="F134" s="4"/>
      <c r="G134" s="4"/>
      <c r="H134" s="6"/>
      <c r="I134" s="6"/>
      <c r="J134" s="6"/>
      <c r="K134" s="6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4"/>
      <c r="C135" s="4"/>
      <c r="D135" s="4"/>
      <c r="E135" s="4"/>
      <c r="F135" s="4"/>
      <c r="G135" s="4"/>
      <c r="H135" s="6"/>
      <c r="I135" s="6"/>
      <c r="J135" s="6"/>
      <c r="K135" s="6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4"/>
      <c r="C136" s="4"/>
      <c r="D136" s="4"/>
      <c r="E136" s="4"/>
      <c r="F136" s="4"/>
      <c r="G136" s="4"/>
      <c r="H136" s="6"/>
      <c r="I136" s="6"/>
      <c r="J136" s="6"/>
      <c r="K136" s="6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4"/>
      <c r="C137" s="4"/>
      <c r="D137" s="4"/>
      <c r="E137" s="4"/>
      <c r="F137" s="4"/>
      <c r="G137" s="4"/>
      <c r="H137" s="6"/>
      <c r="I137" s="6"/>
      <c r="J137" s="6"/>
      <c r="K137" s="6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4"/>
      <c r="C138" s="4"/>
      <c r="D138" s="4"/>
      <c r="E138" s="4"/>
      <c r="F138" s="4"/>
      <c r="G138" s="4"/>
      <c r="H138" s="6"/>
      <c r="I138" s="6"/>
      <c r="J138" s="6"/>
      <c r="K138" s="6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4"/>
      <c r="C139" s="4"/>
      <c r="D139" s="4"/>
      <c r="E139" s="4"/>
      <c r="F139" s="4"/>
      <c r="G139" s="4"/>
      <c r="H139" s="6"/>
      <c r="I139" s="6"/>
      <c r="J139" s="6"/>
      <c r="K139" s="6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4"/>
      <c r="C140" s="4"/>
      <c r="D140" s="4"/>
      <c r="E140" s="4"/>
      <c r="F140" s="4"/>
      <c r="G140" s="4"/>
      <c r="H140" s="6"/>
      <c r="I140" s="6"/>
      <c r="J140" s="6"/>
      <c r="K140" s="6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4"/>
      <c r="C141" s="4"/>
      <c r="D141" s="4"/>
      <c r="E141" s="4"/>
      <c r="F141" s="4"/>
      <c r="G141" s="4"/>
      <c r="H141" s="6"/>
      <c r="I141" s="6"/>
      <c r="J141" s="6"/>
      <c r="K141" s="6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4"/>
      <c r="C142" s="4"/>
      <c r="D142" s="4"/>
      <c r="E142" s="4"/>
      <c r="F142" s="4"/>
      <c r="G142" s="4"/>
      <c r="H142" s="6"/>
      <c r="I142" s="6"/>
      <c r="J142" s="6"/>
      <c r="K142" s="6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4"/>
      <c r="C143" s="4"/>
      <c r="D143" s="4"/>
      <c r="E143" s="4"/>
      <c r="F143" s="4"/>
      <c r="G143" s="4"/>
      <c r="H143" s="6"/>
      <c r="I143" s="6"/>
      <c r="J143" s="6"/>
      <c r="K143" s="6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4"/>
      <c r="C144" s="4"/>
      <c r="D144" s="4"/>
      <c r="E144" s="4"/>
      <c r="F144" s="4"/>
      <c r="G144" s="4"/>
      <c r="H144" s="6"/>
      <c r="I144" s="6"/>
      <c r="J144" s="6"/>
      <c r="K144" s="6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4"/>
      <c r="C145" s="4"/>
      <c r="D145" s="4"/>
      <c r="E145" s="4"/>
      <c r="F145" s="4"/>
      <c r="G145" s="4"/>
      <c r="H145" s="6"/>
      <c r="I145" s="6"/>
      <c r="J145" s="6"/>
      <c r="K145" s="6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4"/>
      <c r="C146" s="4"/>
      <c r="D146" s="4"/>
      <c r="E146" s="4"/>
      <c r="F146" s="4"/>
      <c r="G146" s="4"/>
      <c r="H146" s="6"/>
      <c r="I146" s="6"/>
      <c r="J146" s="6"/>
      <c r="K146" s="6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4"/>
      <c r="C147" s="4"/>
      <c r="D147" s="4"/>
      <c r="E147" s="4"/>
      <c r="F147" s="4"/>
      <c r="G147" s="4"/>
      <c r="H147" s="6"/>
      <c r="I147" s="6"/>
      <c r="J147" s="6"/>
      <c r="K147" s="6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4"/>
      <c r="C148" s="4"/>
      <c r="D148" s="4"/>
      <c r="E148" s="4"/>
      <c r="F148" s="4"/>
      <c r="G148" s="4"/>
      <c r="H148" s="6"/>
      <c r="I148" s="6"/>
      <c r="J148" s="6"/>
      <c r="K148" s="6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4"/>
      <c r="C149" s="4"/>
      <c r="D149" s="4"/>
      <c r="E149" s="4"/>
      <c r="F149" s="4"/>
      <c r="G149" s="4"/>
      <c r="H149" s="6"/>
      <c r="I149" s="6"/>
      <c r="J149" s="6"/>
      <c r="K149" s="6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4"/>
      <c r="C150" s="4"/>
      <c r="D150" s="4"/>
      <c r="E150" s="4"/>
      <c r="F150" s="4"/>
      <c r="G150" s="4"/>
      <c r="H150" s="6"/>
      <c r="I150" s="6"/>
      <c r="J150" s="6"/>
      <c r="K150" s="6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4"/>
      <c r="C151" s="4"/>
      <c r="D151" s="4"/>
      <c r="E151" s="4"/>
      <c r="F151" s="4"/>
      <c r="G151" s="4"/>
      <c r="H151" s="6"/>
      <c r="I151" s="6"/>
      <c r="J151" s="6"/>
      <c r="K151" s="6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4"/>
      <c r="C152" s="4"/>
      <c r="D152" s="4"/>
      <c r="E152" s="4"/>
      <c r="F152" s="4"/>
      <c r="G152" s="4"/>
      <c r="H152" s="6"/>
      <c r="I152" s="6"/>
      <c r="J152" s="6"/>
      <c r="K152" s="6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4"/>
      <c r="C153" s="4"/>
      <c r="D153" s="4"/>
      <c r="E153" s="4"/>
      <c r="F153" s="4"/>
      <c r="G153" s="4"/>
      <c r="H153" s="6"/>
      <c r="I153" s="6"/>
      <c r="J153" s="6"/>
      <c r="K153" s="6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4"/>
      <c r="C154" s="4"/>
      <c r="D154" s="4"/>
      <c r="E154" s="4"/>
      <c r="F154" s="4"/>
      <c r="G154" s="4"/>
      <c r="H154" s="6"/>
      <c r="I154" s="6"/>
      <c r="J154" s="6"/>
      <c r="K154" s="6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4"/>
      <c r="C155" s="4"/>
      <c r="D155" s="4"/>
      <c r="E155" s="4"/>
      <c r="F155" s="4"/>
      <c r="G155" s="4"/>
      <c r="H155" s="6"/>
      <c r="I155" s="6"/>
      <c r="J155" s="6"/>
      <c r="K155" s="6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4"/>
      <c r="C156" s="4"/>
      <c r="D156" s="4"/>
      <c r="E156" s="4"/>
      <c r="F156" s="4"/>
      <c r="G156" s="4"/>
      <c r="H156" s="6"/>
      <c r="I156" s="6"/>
      <c r="J156" s="6"/>
      <c r="K156" s="6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4"/>
      <c r="C157" s="4"/>
      <c r="D157" s="4"/>
      <c r="E157" s="4"/>
      <c r="F157" s="4"/>
      <c r="G157" s="4"/>
      <c r="H157" s="6"/>
      <c r="I157" s="6"/>
      <c r="J157" s="6"/>
      <c r="K157" s="6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4"/>
      <c r="C158" s="4"/>
      <c r="D158" s="4"/>
      <c r="E158" s="4"/>
      <c r="F158" s="4"/>
      <c r="G158" s="4"/>
      <c r="H158" s="6"/>
      <c r="I158" s="6"/>
      <c r="J158" s="6"/>
      <c r="K158" s="6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4"/>
      <c r="C159" s="4"/>
      <c r="D159" s="4"/>
      <c r="E159" s="4"/>
      <c r="F159" s="4"/>
      <c r="G159" s="4"/>
      <c r="H159" s="6"/>
      <c r="I159" s="6"/>
      <c r="J159" s="6"/>
      <c r="K159" s="6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4"/>
      <c r="C160" s="4"/>
      <c r="D160" s="4"/>
      <c r="E160" s="4"/>
      <c r="F160" s="4"/>
      <c r="G160" s="4"/>
      <c r="H160" s="6"/>
      <c r="I160" s="6"/>
      <c r="J160" s="6"/>
      <c r="K160" s="6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4"/>
      <c r="C161" s="4"/>
      <c r="D161" s="4"/>
      <c r="E161" s="4"/>
      <c r="F161" s="4"/>
      <c r="G161" s="4"/>
      <c r="H161" s="6"/>
      <c r="I161" s="6"/>
      <c r="J161" s="6"/>
      <c r="K161" s="6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4"/>
      <c r="C162" s="4"/>
      <c r="D162" s="4"/>
      <c r="E162" s="4"/>
      <c r="F162" s="4"/>
      <c r="G162" s="4"/>
      <c r="H162" s="6"/>
      <c r="I162" s="6"/>
      <c r="J162" s="6"/>
      <c r="K162" s="6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4"/>
      <c r="C163" s="4"/>
      <c r="D163" s="4"/>
      <c r="E163" s="4"/>
      <c r="F163" s="4"/>
      <c r="G163" s="4"/>
      <c r="H163" s="6"/>
      <c r="I163" s="6"/>
      <c r="J163" s="6"/>
      <c r="K163" s="6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4"/>
      <c r="C164" s="4"/>
      <c r="D164" s="4"/>
      <c r="E164" s="4"/>
      <c r="F164" s="4"/>
      <c r="G164" s="4"/>
      <c r="H164" s="6"/>
      <c r="I164" s="6"/>
      <c r="J164" s="6"/>
      <c r="K164" s="6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4"/>
      <c r="C165" s="4"/>
      <c r="D165" s="4"/>
      <c r="E165" s="4"/>
      <c r="F165" s="4"/>
      <c r="G165" s="4"/>
      <c r="H165" s="6"/>
      <c r="I165" s="6"/>
      <c r="J165" s="6"/>
      <c r="K165" s="6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4"/>
      <c r="C166" s="4"/>
      <c r="D166" s="4"/>
      <c r="E166" s="4"/>
      <c r="F166" s="4"/>
      <c r="G166" s="4"/>
      <c r="H166" s="6"/>
      <c r="I166" s="6"/>
      <c r="J166" s="6"/>
      <c r="K166" s="6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4"/>
      <c r="C167" s="4"/>
      <c r="D167" s="4"/>
      <c r="E167" s="4"/>
      <c r="F167" s="4"/>
      <c r="G167" s="4"/>
      <c r="H167" s="6"/>
      <c r="I167" s="6"/>
      <c r="J167" s="6"/>
      <c r="K167" s="6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4"/>
      <c r="C168" s="4"/>
      <c r="D168" s="4"/>
      <c r="E168" s="4"/>
      <c r="F168" s="4"/>
      <c r="G168" s="4"/>
      <c r="H168" s="6"/>
      <c r="I168" s="6"/>
      <c r="J168" s="6"/>
      <c r="K168" s="6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4"/>
      <c r="C169" s="4"/>
      <c r="D169" s="4"/>
      <c r="E169" s="4"/>
      <c r="F169" s="4"/>
      <c r="G169" s="4"/>
      <c r="H169" s="6"/>
      <c r="I169" s="6"/>
      <c r="J169" s="6"/>
      <c r="K169" s="6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4"/>
      <c r="C170" s="4"/>
      <c r="D170" s="4"/>
      <c r="E170" s="4"/>
      <c r="F170" s="4"/>
      <c r="G170" s="4"/>
      <c r="H170" s="6"/>
      <c r="I170" s="6"/>
      <c r="J170" s="6"/>
      <c r="K170" s="6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4"/>
      <c r="C171" s="4"/>
      <c r="D171" s="4"/>
      <c r="E171" s="4"/>
      <c r="F171" s="4"/>
      <c r="G171" s="4"/>
      <c r="H171" s="6"/>
      <c r="I171" s="6"/>
      <c r="J171" s="6"/>
      <c r="K171" s="6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4"/>
      <c r="C172" s="4"/>
      <c r="D172" s="4"/>
      <c r="E172" s="4"/>
      <c r="F172" s="4"/>
      <c r="G172" s="4"/>
      <c r="H172" s="6"/>
      <c r="I172" s="6"/>
      <c r="J172" s="6"/>
      <c r="K172" s="6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4"/>
      <c r="C173" s="4"/>
      <c r="D173" s="4"/>
      <c r="E173" s="4"/>
      <c r="F173" s="4"/>
      <c r="G173" s="4"/>
      <c r="H173" s="6"/>
      <c r="I173" s="6"/>
      <c r="J173" s="6"/>
      <c r="K173" s="6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4"/>
      <c r="C174" s="4"/>
      <c r="D174" s="4"/>
      <c r="E174" s="4"/>
      <c r="F174" s="4"/>
      <c r="G174" s="4"/>
      <c r="H174" s="6"/>
      <c r="I174" s="6"/>
      <c r="J174" s="6"/>
      <c r="K174" s="6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4"/>
      <c r="C175" s="4"/>
      <c r="D175" s="4"/>
      <c r="E175" s="4"/>
      <c r="F175" s="4"/>
      <c r="G175" s="4"/>
      <c r="H175" s="6"/>
      <c r="I175" s="6"/>
      <c r="J175" s="6"/>
      <c r="K175" s="6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4"/>
      <c r="C176" s="4"/>
      <c r="D176" s="4"/>
      <c r="E176" s="4"/>
      <c r="F176" s="4"/>
      <c r="G176" s="4"/>
      <c r="H176" s="6"/>
      <c r="I176" s="6"/>
      <c r="J176" s="6"/>
      <c r="K176" s="6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4"/>
      <c r="C177" s="4"/>
      <c r="D177" s="4"/>
      <c r="E177" s="4"/>
      <c r="F177" s="4"/>
      <c r="G177" s="4"/>
      <c r="H177" s="6"/>
      <c r="I177" s="6"/>
      <c r="J177" s="6"/>
      <c r="K177" s="6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4"/>
      <c r="C178" s="4"/>
      <c r="D178" s="4"/>
      <c r="E178" s="4"/>
      <c r="F178" s="4"/>
      <c r="G178" s="4"/>
      <c r="H178" s="6"/>
      <c r="I178" s="6"/>
      <c r="J178" s="6"/>
      <c r="K178" s="6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4"/>
      <c r="C179" s="4"/>
      <c r="D179" s="4"/>
      <c r="E179" s="4"/>
      <c r="F179" s="4"/>
      <c r="G179" s="4"/>
      <c r="H179" s="6"/>
      <c r="I179" s="6"/>
      <c r="J179" s="6"/>
      <c r="K179" s="6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4"/>
      <c r="C180" s="4"/>
      <c r="D180" s="4"/>
      <c r="E180" s="4"/>
      <c r="F180" s="4"/>
      <c r="G180" s="4"/>
      <c r="H180" s="6"/>
      <c r="I180" s="6"/>
      <c r="J180" s="6"/>
      <c r="K180" s="6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4"/>
      <c r="C181" s="4"/>
      <c r="D181" s="4"/>
      <c r="E181" s="4"/>
      <c r="F181" s="4"/>
      <c r="G181" s="4"/>
      <c r="H181" s="6"/>
      <c r="I181" s="6"/>
      <c r="J181" s="6"/>
      <c r="K181" s="6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4"/>
      <c r="C182" s="4"/>
      <c r="D182" s="4"/>
      <c r="E182" s="4"/>
      <c r="F182" s="4"/>
      <c r="G182" s="4"/>
      <c r="H182" s="6"/>
      <c r="I182" s="6"/>
      <c r="J182" s="6"/>
      <c r="K182" s="6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4"/>
      <c r="C183" s="4"/>
      <c r="D183" s="4"/>
      <c r="E183" s="4"/>
      <c r="F183" s="4"/>
      <c r="G183" s="4"/>
      <c r="H183" s="6"/>
      <c r="I183" s="6"/>
      <c r="J183" s="6"/>
      <c r="K183" s="6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4"/>
      <c r="C184" s="4"/>
      <c r="D184" s="4"/>
      <c r="E184" s="4"/>
      <c r="F184" s="4"/>
      <c r="G184" s="4"/>
      <c r="H184" s="6"/>
      <c r="I184" s="6"/>
      <c r="J184" s="6"/>
      <c r="K184" s="6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4"/>
      <c r="C185" s="4"/>
      <c r="D185" s="4"/>
      <c r="E185" s="4"/>
      <c r="F185" s="4"/>
      <c r="G185" s="4"/>
      <c r="H185" s="6"/>
      <c r="I185" s="6"/>
      <c r="J185" s="6"/>
      <c r="K185" s="6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4"/>
      <c r="C186" s="4"/>
      <c r="D186" s="4"/>
      <c r="E186" s="4"/>
      <c r="F186" s="4"/>
      <c r="G186" s="4"/>
      <c r="H186" s="6"/>
      <c r="I186" s="6"/>
      <c r="J186" s="6"/>
      <c r="K186" s="6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4"/>
      <c r="C187" s="4"/>
      <c r="D187" s="4"/>
      <c r="E187" s="4"/>
      <c r="F187" s="4"/>
      <c r="G187" s="4"/>
      <c r="H187" s="6"/>
      <c r="I187" s="6"/>
      <c r="J187" s="6"/>
      <c r="K187" s="6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4"/>
      <c r="C188" s="4"/>
      <c r="D188" s="4"/>
      <c r="E188" s="4"/>
      <c r="F188" s="4"/>
      <c r="G188" s="4"/>
      <c r="H188" s="6"/>
      <c r="I188" s="6"/>
      <c r="J188" s="6"/>
      <c r="K188" s="6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4"/>
      <c r="C189" s="4"/>
      <c r="D189" s="4"/>
      <c r="E189" s="4"/>
      <c r="F189" s="4"/>
      <c r="G189" s="4"/>
      <c r="H189" s="6"/>
      <c r="I189" s="6"/>
      <c r="J189" s="6"/>
      <c r="K189" s="6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4"/>
      <c r="C190" s="4"/>
      <c r="D190" s="4"/>
      <c r="E190" s="4"/>
      <c r="F190" s="4"/>
      <c r="G190" s="4"/>
      <c r="H190" s="6"/>
      <c r="I190" s="6"/>
      <c r="J190" s="6"/>
      <c r="K190" s="6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4"/>
      <c r="C191" s="4"/>
      <c r="D191" s="4"/>
      <c r="E191" s="4"/>
      <c r="F191" s="4"/>
      <c r="G191" s="4"/>
      <c r="H191" s="6"/>
      <c r="I191" s="6"/>
      <c r="J191" s="6"/>
      <c r="K191" s="6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4"/>
      <c r="C192" s="4"/>
      <c r="D192" s="4"/>
      <c r="E192" s="4"/>
      <c r="F192" s="4"/>
      <c r="G192" s="4"/>
      <c r="H192" s="6"/>
      <c r="I192" s="6"/>
      <c r="J192" s="6"/>
      <c r="K192" s="6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4"/>
      <c r="C193" s="4"/>
      <c r="D193" s="4"/>
      <c r="E193" s="4"/>
      <c r="F193" s="4"/>
      <c r="G193" s="4"/>
      <c r="H193" s="6"/>
      <c r="I193" s="6"/>
      <c r="J193" s="6"/>
      <c r="K193" s="6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4"/>
      <c r="C194" s="4"/>
      <c r="D194" s="4"/>
      <c r="E194" s="4"/>
      <c r="F194" s="4"/>
      <c r="G194" s="4"/>
      <c r="H194" s="6"/>
      <c r="I194" s="6"/>
      <c r="J194" s="6"/>
      <c r="K194" s="6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4"/>
      <c r="C195" s="4"/>
      <c r="D195" s="4"/>
      <c r="E195" s="4"/>
      <c r="F195" s="4"/>
      <c r="G195" s="4"/>
      <c r="H195" s="6"/>
      <c r="I195" s="6"/>
      <c r="J195" s="6"/>
      <c r="K195" s="6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4"/>
      <c r="C196" s="4"/>
      <c r="D196" s="4"/>
      <c r="E196" s="4"/>
      <c r="F196" s="4"/>
      <c r="G196" s="4"/>
      <c r="H196" s="6"/>
      <c r="I196" s="6"/>
      <c r="J196" s="6"/>
      <c r="K196" s="6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4"/>
      <c r="C197" s="4"/>
      <c r="D197" s="4"/>
      <c r="E197" s="4"/>
      <c r="F197" s="4"/>
      <c r="G197" s="4"/>
      <c r="H197" s="6"/>
      <c r="I197" s="6"/>
      <c r="J197" s="6"/>
      <c r="K197" s="6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4"/>
      <c r="C198" s="4"/>
      <c r="D198" s="4"/>
      <c r="E198" s="4"/>
      <c r="F198" s="4"/>
      <c r="G198" s="4"/>
      <c r="H198" s="6"/>
      <c r="I198" s="6"/>
      <c r="J198" s="6"/>
      <c r="K198" s="6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4"/>
      <c r="C199" s="4"/>
      <c r="D199" s="4"/>
      <c r="E199" s="4"/>
      <c r="F199" s="4"/>
      <c r="G199" s="4"/>
      <c r="H199" s="6"/>
      <c r="I199" s="6"/>
      <c r="J199" s="6"/>
      <c r="K199" s="6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4"/>
      <c r="C200" s="4"/>
      <c r="D200" s="4"/>
      <c r="E200" s="4"/>
      <c r="F200" s="4"/>
      <c r="G200" s="4"/>
      <c r="H200" s="6"/>
      <c r="I200" s="6"/>
      <c r="J200" s="6"/>
      <c r="K200" s="6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4"/>
      <c r="C201" s="4"/>
      <c r="D201" s="4"/>
      <c r="E201" s="4"/>
      <c r="F201" s="4"/>
      <c r="G201" s="4"/>
      <c r="H201" s="6"/>
      <c r="I201" s="6"/>
      <c r="J201" s="6"/>
      <c r="K201" s="6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4"/>
      <c r="C202" s="4"/>
      <c r="D202" s="4"/>
      <c r="E202" s="4"/>
      <c r="F202" s="4"/>
      <c r="G202" s="4"/>
      <c r="H202" s="6"/>
      <c r="I202" s="6"/>
      <c r="J202" s="6"/>
      <c r="K202" s="6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4"/>
      <c r="C203" s="4"/>
      <c r="D203" s="4"/>
      <c r="E203" s="4"/>
      <c r="F203" s="4"/>
      <c r="G203" s="4"/>
      <c r="H203" s="6"/>
      <c r="I203" s="6"/>
      <c r="J203" s="6"/>
      <c r="K203" s="6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4"/>
      <c r="C204" s="4"/>
      <c r="D204" s="4"/>
      <c r="E204" s="4"/>
      <c r="F204" s="4"/>
      <c r="G204" s="4"/>
      <c r="H204" s="6"/>
      <c r="I204" s="6"/>
      <c r="J204" s="6"/>
      <c r="K204" s="6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4"/>
      <c r="C205" s="4"/>
      <c r="D205" s="4"/>
      <c r="E205" s="4"/>
      <c r="F205" s="4"/>
      <c r="G205" s="4"/>
      <c r="H205" s="6"/>
      <c r="I205" s="6"/>
      <c r="J205" s="6"/>
      <c r="K205" s="6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4"/>
      <c r="C206" s="4"/>
      <c r="D206" s="4"/>
      <c r="E206" s="4"/>
      <c r="F206" s="4"/>
      <c r="G206" s="4"/>
      <c r="H206" s="6"/>
      <c r="I206" s="6"/>
      <c r="J206" s="6"/>
      <c r="K206" s="6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4"/>
      <c r="C207" s="4"/>
      <c r="D207" s="4"/>
      <c r="E207" s="4"/>
      <c r="F207" s="4"/>
      <c r="G207" s="4"/>
      <c r="H207" s="6"/>
      <c r="I207" s="6"/>
      <c r="J207" s="6"/>
      <c r="K207" s="6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4"/>
      <c r="C208" s="4"/>
      <c r="D208" s="4"/>
      <c r="E208" s="4"/>
      <c r="F208" s="4"/>
      <c r="G208" s="4"/>
      <c r="H208" s="6"/>
      <c r="I208" s="6"/>
      <c r="J208" s="6"/>
      <c r="K208" s="6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4"/>
      <c r="C209" s="4"/>
      <c r="D209" s="4"/>
      <c r="E209" s="4"/>
      <c r="F209" s="4"/>
      <c r="G209" s="4"/>
      <c r="H209" s="6"/>
      <c r="I209" s="6"/>
      <c r="J209" s="6"/>
      <c r="K209" s="6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4"/>
      <c r="C210" s="4"/>
      <c r="D210" s="4"/>
      <c r="E210" s="4"/>
      <c r="F210" s="4"/>
      <c r="G210" s="4"/>
      <c r="H210" s="6"/>
      <c r="I210" s="6"/>
      <c r="J210" s="6"/>
      <c r="K210" s="6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4"/>
      <c r="C211" s="4"/>
      <c r="D211" s="4"/>
      <c r="E211" s="4"/>
      <c r="F211" s="4"/>
      <c r="G211" s="4"/>
      <c r="H211" s="6"/>
      <c r="I211" s="6"/>
      <c r="J211" s="6"/>
      <c r="K211" s="6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4"/>
      <c r="C212" s="4"/>
      <c r="D212" s="4"/>
      <c r="E212" s="4"/>
      <c r="F212" s="4"/>
      <c r="G212" s="4"/>
      <c r="H212" s="6"/>
      <c r="I212" s="6"/>
      <c r="J212" s="6"/>
      <c r="K212" s="6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4"/>
      <c r="C213" s="4"/>
      <c r="D213" s="4"/>
      <c r="E213" s="4"/>
      <c r="F213" s="4"/>
      <c r="G213" s="4"/>
      <c r="H213" s="6"/>
      <c r="I213" s="6"/>
      <c r="J213" s="6"/>
      <c r="K213" s="6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4"/>
      <c r="C214" s="4"/>
      <c r="D214" s="4"/>
      <c r="E214" s="4"/>
      <c r="F214" s="4"/>
      <c r="G214" s="4"/>
      <c r="H214" s="6"/>
      <c r="I214" s="6"/>
      <c r="J214" s="6"/>
      <c r="K214" s="6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4"/>
      <c r="C215" s="4"/>
      <c r="D215" s="4"/>
      <c r="E215" s="4"/>
      <c r="F215" s="4"/>
      <c r="G215" s="4"/>
      <c r="H215" s="6"/>
      <c r="I215" s="6"/>
      <c r="J215" s="6"/>
      <c r="K215" s="6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4"/>
      <c r="C216" s="4"/>
      <c r="D216" s="4"/>
      <c r="E216" s="4"/>
      <c r="F216" s="4"/>
      <c r="G216" s="4"/>
      <c r="H216" s="6"/>
      <c r="I216" s="6"/>
      <c r="J216" s="6"/>
      <c r="K216" s="6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4"/>
      <c r="C217" s="4"/>
      <c r="D217" s="4"/>
      <c r="E217" s="4"/>
      <c r="F217" s="4"/>
      <c r="G217" s="4"/>
      <c r="H217" s="6"/>
      <c r="I217" s="6"/>
      <c r="J217" s="6"/>
      <c r="K217" s="6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4"/>
      <c r="C218" s="4"/>
      <c r="D218" s="4"/>
      <c r="E218" s="4"/>
      <c r="F218" s="4"/>
      <c r="G218" s="4"/>
      <c r="H218" s="6"/>
      <c r="I218" s="6"/>
      <c r="J218" s="6"/>
      <c r="K218" s="6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4"/>
      <c r="C219" s="4"/>
      <c r="D219" s="4"/>
      <c r="E219" s="4"/>
      <c r="F219" s="4"/>
      <c r="G219" s="4"/>
      <c r="H219" s="6"/>
      <c r="I219" s="6"/>
      <c r="J219" s="6"/>
      <c r="K219" s="6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4"/>
      <c r="C220" s="4"/>
      <c r="D220" s="4"/>
      <c r="E220" s="4"/>
      <c r="F220" s="4"/>
      <c r="G220" s="4"/>
      <c r="H220" s="6"/>
      <c r="I220" s="6"/>
      <c r="J220" s="6"/>
      <c r="K220" s="6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4"/>
      <c r="C221" s="4"/>
      <c r="D221" s="4"/>
      <c r="E221" s="4"/>
      <c r="F221" s="4"/>
      <c r="G221" s="4"/>
      <c r="H221" s="6"/>
      <c r="I221" s="6"/>
      <c r="J221" s="6"/>
      <c r="K221" s="6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4"/>
      <c r="C222" s="4"/>
      <c r="D222" s="4"/>
      <c r="E222" s="4"/>
      <c r="F222" s="4"/>
      <c r="G222" s="4"/>
      <c r="H222" s="6"/>
      <c r="I222" s="6"/>
      <c r="J222" s="6"/>
      <c r="K222" s="6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4"/>
      <c r="C223" s="4"/>
      <c r="D223" s="4"/>
      <c r="E223" s="4"/>
      <c r="F223" s="4"/>
      <c r="G223" s="4"/>
      <c r="H223" s="6"/>
      <c r="I223" s="6"/>
      <c r="J223" s="6"/>
      <c r="K223" s="6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4"/>
      <c r="C224" s="4"/>
      <c r="D224" s="4"/>
      <c r="E224" s="4"/>
      <c r="F224" s="4"/>
      <c r="G224" s="4"/>
      <c r="H224" s="6"/>
      <c r="I224" s="6"/>
      <c r="J224" s="6"/>
      <c r="K224" s="6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4"/>
      <c r="C225" s="4"/>
      <c r="D225" s="4"/>
      <c r="E225" s="4"/>
      <c r="F225" s="4"/>
      <c r="G225" s="4"/>
      <c r="H225" s="6"/>
      <c r="I225" s="6"/>
      <c r="J225" s="6"/>
      <c r="K225" s="6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4"/>
      <c r="C226" s="4"/>
      <c r="D226" s="4"/>
      <c r="E226" s="4"/>
      <c r="F226" s="4"/>
      <c r="G226" s="4"/>
      <c r="H226" s="6"/>
      <c r="I226" s="6"/>
      <c r="J226" s="6"/>
      <c r="K226" s="6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4"/>
      <c r="C227" s="4"/>
      <c r="D227" s="4"/>
      <c r="E227" s="4"/>
      <c r="F227" s="4"/>
      <c r="G227" s="4"/>
      <c r="H227" s="6"/>
      <c r="I227" s="6"/>
      <c r="J227" s="6"/>
      <c r="K227" s="6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4"/>
      <c r="C228" s="4"/>
      <c r="D228" s="4"/>
      <c r="E228" s="4"/>
      <c r="F228" s="4"/>
      <c r="G228" s="4"/>
      <c r="H228" s="6"/>
      <c r="I228" s="6"/>
      <c r="J228" s="6"/>
      <c r="K228" s="6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4"/>
      <c r="C229" s="4"/>
      <c r="D229" s="4"/>
      <c r="E229" s="4"/>
      <c r="F229" s="4"/>
      <c r="G229" s="4"/>
      <c r="H229" s="6"/>
      <c r="I229" s="6"/>
      <c r="J229" s="6"/>
      <c r="K229" s="6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4"/>
      <c r="C230" s="4"/>
      <c r="D230" s="4"/>
      <c r="E230" s="4"/>
      <c r="F230" s="4"/>
      <c r="G230" s="4"/>
      <c r="H230" s="6"/>
      <c r="I230" s="6"/>
      <c r="J230" s="6"/>
      <c r="K230" s="6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4"/>
      <c r="C231" s="4"/>
      <c r="D231" s="4"/>
      <c r="E231" s="4"/>
      <c r="F231" s="4"/>
      <c r="G231" s="4"/>
      <c r="H231" s="6"/>
      <c r="I231" s="6"/>
      <c r="J231" s="6"/>
      <c r="K231" s="6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4"/>
      <c r="C232" s="4"/>
      <c r="D232" s="4"/>
      <c r="E232" s="4"/>
      <c r="F232" s="4"/>
      <c r="G232" s="4"/>
      <c r="H232" s="6"/>
      <c r="I232" s="6"/>
      <c r="J232" s="6"/>
      <c r="K232" s="6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4"/>
      <c r="C233" s="4"/>
      <c r="D233" s="4"/>
      <c r="E233" s="4"/>
      <c r="F233" s="4"/>
      <c r="G233" s="4"/>
      <c r="H233" s="6"/>
      <c r="I233" s="6"/>
      <c r="J233" s="6"/>
      <c r="K233" s="6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4"/>
      <c r="C234" s="4"/>
      <c r="D234" s="4"/>
      <c r="E234" s="4"/>
      <c r="F234" s="4"/>
      <c r="G234" s="4"/>
      <c r="H234" s="6"/>
      <c r="I234" s="6"/>
      <c r="J234" s="6"/>
      <c r="K234" s="6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4"/>
      <c r="C235" s="4"/>
      <c r="D235" s="4"/>
      <c r="E235" s="4"/>
      <c r="F235" s="4"/>
      <c r="G235" s="4"/>
      <c r="H235" s="6"/>
      <c r="I235" s="6"/>
      <c r="J235" s="6"/>
      <c r="K235" s="6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4"/>
      <c r="C236" s="4"/>
      <c r="D236" s="4"/>
      <c r="E236" s="4"/>
      <c r="F236" s="4"/>
      <c r="G236" s="4"/>
      <c r="H236" s="6"/>
      <c r="I236" s="6"/>
      <c r="J236" s="6"/>
      <c r="K236" s="6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4"/>
      <c r="C237" s="4"/>
      <c r="D237" s="4"/>
      <c r="E237" s="4"/>
      <c r="F237" s="4"/>
      <c r="G237" s="4"/>
      <c r="H237" s="6"/>
      <c r="I237" s="6"/>
      <c r="J237" s="6"/>
      <c r="K237" s="6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4"/>
      <c r="C238" s="4"/>
      <c r="D238" s="4"/>
      <c r="E238" s="4"/>
      <c r="F238" s="4"/>
      <c r="G238" s="4"/>
      <c r="H238" s="6"/>
      <c r="I238" s="6"/>
      <c r="J238" s="6"/>
      <c r="K238" s="6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4"/>
      <c r="C239" s="4"/>
      <c r="D239" s="4"/>
      <c r="E239" s="4"/>
      <c r="F239" s="4"/>
      <c r="G239" s="4"/>
      <c r="H239" s="6"/>
      <c r="I239" s="6"/>
      <c r="J239" s="6"/>
      <c r="K239" s="6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4"/>
      <c r="C240" s="4"/>
      <c r="D240" s="4"/>
      <c r="E240" s="4"/>
      <c r="F240" s="4"/>
      <c r="G240" s="4"/>
      <c r="H240" s="6"/>
      <c r="I240" s="6"/>
      <c r="J240" s="6"/>
      <c r="K240" s="6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4"/>
      <c r="C241" s="4"/>
      <c r="D241" s="4"/>
      <c r="E241" s="4"/>
      <c r="F241" s="4"/>
      <c r="G241" s="4"/>
      <c r="H241" s="6"/>
      <c r="I241" s="6"/>
      <c r="J241" s="6"/>
      <c r="K241" s="6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4"/>
      <c r="C242" s="4"/>
      <c r="D242" s="4"/>
      <c r="E242" s="4"/>
      <c r="F242" s="4"/>
      <c r="G242" s="4"/>
      <c r="H242" s="6"/>
      <c r="I242" s="6"/>
      <c r="J242" s="6"/>
      <c r="K242" s="6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4"/>
      <c r="C243" s="4"/>
      <c r="D243" s="4"/>
      <c r="E243" s="4"/>
      <c r="F243" s="4"/>
      <c r="G243" s="4"/>
      <c r="H243" s="6"/>
      <c r="I243" s="6"/>
      <c r="J243" s="6"/>
      <c r="K243" s="6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4"/>
      <c r="C244" s="4"/>
      <c r="D244" s="4"/>
      <c r="E244" s="4"/>
      <c r="F244" s="4"/>
      <c r="G244" s="4"/>
      <c r="H244" s="6"/>
      <c r="I244" s="6"/>
      <c r="J244" s="6"/>
      <c r="K244" s="6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4"/>
      <c r="C245" s="4"/>
      <c r="D245" s="4"/>
      <c r="E245" s="4"/>
      <c r="F245" s="4"/>
      <c r="G245" s="4"/>
      <c r="H245" s="6"/>
      <c r="I245" s="6"/>
      <c r="J245" s="6"/>
      <c r="K245" s="6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4"/>
      <c r="C246" s="4"/>
      <c r="D246" s="4"/>
      <c r="E246" s="4"/>
      <c r="F246" s="4"/>
      <c r="G246" s="4"/>
      <c r="H246" s="6"/>
      <c r="I246" s="6"/>
      <c r="J246" s="6"/>
      <c r="K246" s="6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4"/>
      <c r="C247" s="4"/>
      <c r="D247" s="4"/>
      <c r="E247" s="4"/>
      <c r="F247" s="4"/>
      <c r="G247" s="4"/>
      <c r="H247" s="6"/>
      <c r="I247" s="6"/>
      <c r="J247" s="6"/>
      <c r="K247" s="6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4"/>
      <c r="C248" s="4"/>
      <c r="D248" s="4"/>
      <c r="E248" s="4"/>
      <c r="F248" s="4"/>
      <c r="G248" s="4"/>
      <c r="H248" s="6"/>
      <c r="I248" s="6"/>
      <c r="J248" s="6"/>
      <c r="K248" s="6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4"/>
      <c r="C249" s="4"/>
      <c r="D249" s="4"/>
      <c r="E249" s="4"/>
      <c r="F249" s="4"/>
      <c r="G249" s="4"/>
      <c r="H249" s="6"/>
      <c r="I249" s="6"/>
      <c r="J249" s="6"/>
      <c r="K249" s="6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4"/>
      <c r="C250" s="4"/>
      <c r="D250" s="4"/>
      <c r="E250" s="4"/>
      <c r="F250" s="4"/>
      <c r="G250" s="4"/>
      <c r="H250" s="6"/>
      <c r="I250" s="6"/>
      <c r="J250" s="6"/>
      <c r="K250" s="6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4"/>
      <c r="C251" s="4"/>
      <c r="D251" s="4"/>
      <c r="E251" s="4"/>
      <c r="F251" s="4"/>
      <c r="G251" s="4"/>
      <c r="H251" s="6"/>
      <c r="I251" s="6"/>
      <c r="J251" s="6"/>
      <c r="K251" s="6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4"/>
      <c r="C252" s="4"/>
      <c r="D252" s="4"/>
      <c r="E252" s="4"/>
      <c r="F252" s="4"/>
      <c r="G252" s="4"/>
      <c r="H252" s="6"/>
      <c r="I252" s="6"/>
      <c r="J252" s="6"/>
      <c r="K252" s="6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4"/>
      <c r="C253" s="4"/>
      <c r="D253" s="4"/>
      <c r="E253" s="4"/>
      <c r="F253" s="4"/>
      <c r="G253" s="4"/>
      <c r="H253" s="6"/>
      <c r="I253" s="6"/>
      <c r="J253" s="6"/>
      <c r="K253" s="6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4"/>
      <c r="C254" s="4"/>
      <c r="D254" s="4"/>
      <c r="E254" s="4"/>
      <c r="F254" s="4"/>
      <c r="G254" s="4"/>
      <c r="H254" s="6"/>
      <c r="I254" s="6"/>
      <c r="J254" s="6"/>
      <c r="K254" s="6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4"/>
      <c r="C255" s="4"/>
      <c r="D255" s="4"/>
      <c r="E255" s="4"/>
      <c r="F255" s="4"/>
      <c r="G255" s="4"/>
      <c r="H255" s="6"/>
      <c r="I255" s="6"/>
      <c r="J255" s="6"/>
      <c r="K255" s="6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4"/>
      <c r="C256" s="4"/>
      <c r="D256" s="4"/>
      <c r="E256" s="4"/>
      <c r="F256" s="4"/>
      <c r="G256" s="4"/>
      <c r="H256" s="6"/>
      <c r="I256" s="6"/>
      <c r="J256" s="6"/>
      <c r="K256" s="6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4"/>
      <c r="C257" s="4"/>
      <c r="D257" s="4"/>
      <c r="E257" s="4"/>
      <c r="F257" s="4"/>
      <c r="G257" s="4"/>
      <c r="H257" s="6"/>
      <c r="I257" s="6"/>
      <c r="J257" s="6"/>
      <c r="K257" s="6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4"/>
      <c r="C258" s="4"/>
      <c r="D258" s="4"/>
      <c r="E258" s="4"/>
      <c r="F258" s="4"/>
      <c r="G258" s="4"/>
      <c r="H258" s="6"/>
      <c r="I258" s="6"/>
      <c r="J258" s="6"/>
      <c r="K258" s="6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4"/>
      <c r="C259" s="4"/>
      <c r="D259" s="4"/>
      <c r="E259" s="4"/>
      <c r="F259" s="4"/>
      <c r="G259" s="4"/>
      <c r="H259" s="6"/>
      <c r="I259" s="6"/>
      <c r="J259" s="6"/>
      <c r="K259" s="6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4"/>
      <c r="C260" s="4"/>
      <c r="D260" s="4"/>
      <c r="E260" s="4"/>
      <c r="F260" s="4"/>
      <c r="G260" s="4"/>
      <c r="H260" s="6"/>
      <c r="I260" s="6"/>
      <c r="J260" s="6"/>
      <c r="K260" s="6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4"/>
      <c r="C261" s="4"/>
      <c r="D261" s="4"/>
      <c r="E261" s="4"/>
      <c r="F261" s="4"/>
      <c r="G261" s="4"/>
      <c r="H261" s="6"/>
      <c r="I261" s="6"/>
      <c r="J261" s="6"/>
      <c r="K261" s="6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4"/>
      <c r="C262" s="4"/>
      <c r="D262" s="4"/>
      <c r="E262" s="4"/>
      <c r="F262" s="4"/>
      <c r="G262" s="4"/>
      <c r="H262" s="6"/>
      <c r="I262" s="6"/>
      <c r="J262" s="6"/>
      <c r="K262" s="6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4"/>
      <c r="C263" s="4"/>
      <c r="D263" s="4"/>
      <c r="E263" s="4"/>
      <c r="F263" s="4"/>
      <c r="G263" s="4"/>
      <c r="H263" s="6"/>
      <c r="I263" s="6"/>
      <c r="J263" s="6"/>
      <c r="K263" s="6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4"/>
      <c r="C264" s="4"/>
      <c r="D264" s="4"/>
      <c r="E264" s="4"/>
      <c r="F264" s="4"/>
      <c r="G264" s="4"/>
      <c r="H264" s="6"/>
      <c r="I264" s="6"/>
      <c r="J264" s="6"/>
      <c r="K264" s="6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4"/>
      <c r="C265" s="4"/>
      <c r="D265" s="4"/>
      <c r="E265" s="4"/>
      <c r="F265" s="4"/>
      <c r="G265" s="4"/>
      <c r="H265" s="6"/>
      <c r="I265" s="6"/>
      <c r="J265" s="6"/>
      <c r="K265" s="6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4"/>
      <c r="C266" s="4"/>
      <c r="D266" s="4"/>
      <c r="E266" s="4"/>
      <c r="F266" s="4"/>
      <c r="G266" s="4"/>
      <c r="H266" s="6"/>
      <c r="I266" s="6"/>
      <c r="J266" s="6"/>
      <c r="K266" s="6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4"/>
      <c r="C267" s="4"/>
      <c r="D267" s="4"/>
      <c r="E267" s="4"/>
      <c r="F267" s="4"/>
      <c r="G267" s="4"/>
      <c r="H267" s="6"/>
      <c r="I267" s="6"/>
      <c r="J267" s="6"/>
      <c r="K267" s="6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4"/>
      <c r="C268" s="4"/>
      <c r="D268" s="4"/>
      <c r="E268" s="4"/>
      <c r="F268" s="4"/>
      <c r="G268" s="4"/>
      <c r="H268" s="6"/>
      <c r="I268" s="6"/>
      <c r="J268" s="6"/>
      <c r="K268" s="6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4"/>
      <c r="C269" s="4"/>
      <c r="D269" s="4"/>
      <c r="E269" s="4"/>
      <c r="F269" s="4"/>
      <c r="G269" s="4"/>
      <c r="H269" s="6"/>
      <c r="I269" s="6"/>
      <c r="J269" s="6"/>
      <c r="K269" s="6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4"/>
      <c r="C270" s="4"/>
      <c r="D270" s="4"/>
      <c r="E270" s="4"/>
      <c r="F270" s="4"/>
      <c r="G270" s="4"/>
      <c r="H270" s="6"/>
      <c r="I270" s="6"/>
      <c r="J270" s="6"/>
      <c r="K270" s="6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4"/>
      <c r="C271" s="4"/>
      <c r="D271" s="4"/>
      <c r="E271" s="4"/>
      <c r="F271" s="4"/>
      <c r="G271" s="4"/>
      <c r="H271" s="6"/>
      <c r="I271" s="6"/>
      <c r="J271" s="6"/>
      <c r="K271" s="6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4"/>
      <c r="C272" s="4"/>
      <c r="D272" s="4"/>
      <c r="E272" s="4"/>
      <c r="F272" s="4"/>
      <c r="G272" s="4"/>
      <c r="H272" s="6"/>
      <c r="I272" s="6"/>
      <c r="J272" s="6"/>
      <c r="K272" s="6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4"/>
      <c r="C273" s="4"/>
      <c r="D273" s="4"/>
      <c r="E273" s="4"/>
      <c r="F273" s="4"/>
      <c r="G273" s="4"/>
      <c r="H273" s="6"/>
      <c r="I273" s="6"/>
      <c r="J273" s="6"/>
      <c r="K273" s="6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4"/>
      <c r="C274" s="4"/>
      <c r="D274" s="4"/>
      <c r="E274" s="4"/>
      <c r="F274" s="4"/>
      <c r="G274" s="4"/>
      <c r="H274" s="6"/>
      <c r="I274" s="6"/>
      <c r="J274" s="6"/>
      <c r="K274" s="6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4"/>
      <c r="C275" s="4"/>
      <c r="D275" s="4"/>
      <c r="E275" s="4"/>
      <c r="F275" s="4"/>
      <c r="G275" s="4"/>
      <c r="H275" s="6"/>
      <c r="I275" s="6"/>
      <c r="J275" s="6"/>
      <c r="K275" s="6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4"/>
      <c r="C276" s="4"/>
      <c r="D276" s="4"/>
      <c r="E276" s="4"/>
      <c r="F276" s="4"/>
      <c r="G276" s="4"/>
      <c r="H276" s="6"/>
      <c r="I276" s="6"/>
      <c r="J276" s="6"/>
      <c r="K276" s="6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4"/>
      <c r="C277" s="4"/>
      <c r="D277" s="4"/>
      <c r="E277" s="4"/>
      <c r="F277" s="4"/>
      <c r="G277" s="4"/>
      <c r="H277" s="6"/>
      <c r="I277" s="6"/>
      <c r="J277" s="6"/>
      <c r="K277" s="6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4"/>
      <c r="C278" s="4"/>
      <c r="D278" s="4"/>
      <c r="E278" s="4"/>
      <c r="F278" s="4"/>
      <c r="G278" s="4"/>
      <c r="H278" s="6"/>
      <c r="I278" s="6"/>
      <c r="J278" s="6"/>
      <c r="K278" s="6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4"/>
      <c r="C279" s="4"/>
      <c r="D279" s="4"/>
      <c r="E279" s="4"/>
      <c r="F279" s="4"/>
      <c r="G279" s="4"/>
      <c r="H279" s="6"/>
      <c r="I279" s="6"/>
      <c r="J279" s="6"/>
      <c r="K279" s="6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4"/>
      <c r="C280" s="4"/>
      <c r="D280" s="4"/>
      <c r="E280" s="4"/>
      <c r="F280" s="4"/>
      <c r="G280" s="4"/>
      <c r="H280" s="6"/>
      <c r="I280" s="6"/>
      <c r="J280" s="6"/>
      <c r="K280" s="6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4"/>
      <c r="C281" s="4"/>
      <c r="D281" s="4"/>
      <c r="E281" s="4"/>
      <c r="F281" s="4"/>
      <c r="G281" s="4"/>
      <c r="H281" s="6"/>
      <c r="I281" s="6"/>
      <c r="J281" s="6"/>
      <c r="K281" s="6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4"/>
      <c r="C282" s="4"/>
      <c r="D282" s="4"/>
      <c r="E282" s="4"/>
      <c r="F282" s="4"/>
      <c r="G282" s="4"/>
      <c r="H282" s="6"/>
      <c r="I282" s="6"/>
      <c r="J282" s="6"/>
      <c r="K282" s="6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4"/>
      <c r="C283" s="4"/>
      <c r="D283" s="4"/>
      <c r="E283" s="4"/>
      <c r="F283" s="4"/>
      <c r="G283" s="4"/>
      <c r="H283" s="6"/>
      <c r="I283" s="6"/>
      <c r="J283" s="6"/>
      <c r="K283" s="6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4"/>
      <c r="C284" s="4"/>
      <c r="D284" s="4"/>
      <c r="E284" s="4"/>
      <c r="F284" s="4"/>
      <c r="G284" s="4"/>
      <c r="H284" s="6"/>
      <c r="I284" s="6"/>
      <c r="J284" s="6"/>
      <c r="K284" s="6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4"/>
      <c r="C285" s="4"/>
      <c r="D285" s="4"/>
      <c r="E285" s="4"/>
      <c r="F285" s="4"/>
      <c r="G285" s="4"/>
      <c r="H285" s="6"/>
      <c r="I285" s="6"/>
      <c r="J285" s="6"/>
      <c r="K285" s="6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4"/>
      <c r="C286" s="4"/>
      <c r="D286" s="4"/>
      <c r="E286" s="4"/>
      <c r="F286" s="4"/>
      <c r="G286" s="4"/>
      <c r="H286" s="6"/>
      <c r="I286" s="6"/>
      <c r="J286" s="6"/>
      <c r="K286" s="6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4"/>
      <c r="C287" s="4"/>
      <c r="D287" s="4"/>
      <c r="E287" s="4"/>
      <c r="F287" s="4"/>
      <c r="G287" s="4"/>
      <c r="H287" s="6"/>
      <c r="I287" s="6"/>
      <c r="J287" s="6"/>
      <c r="K287" s="6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4"/>
      <c r="C288" s="4"/>
      <c r="D288" s="4"/>
      <c r="E288" s="4"/>
      <c r="F288" s="4"/>
      <c r="G288" s="4"/>
      <c r="H288" s="6"/>
      <c r="I288" s="6"/>
      <c r="J288" s="6"/>
      <c r="K288" s="6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4"/>
      <c r="C289" s="4"/>
      <c r="D289" s="4"/>
      <c r="E289" s="4"/>
      <c r="F289" s="4"/>
      <c r="G289" s="4"/>
      <c r="H289" s="6"/>
      <c r="I289" s="6"/>
      <c r="J289" s="6"/>
      <c r="K289" s="6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4"/>
      <c r="C290" s="4"/>
      <c r="D290" s="4"/>
      <c r="E290" s="4"/>
      <c r="F290" s="4"/>
      <c r="G290" s="4"/>
      <c r="H290" s="6"/>
      <c r="I290" s="6"/>
      <c r="J290" s="6"/>
      <c r="K290" s="6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4"/>
      <c r="C291" s="4"/>
      <c r="D291" s="4"/>
      <c r="E291" s="4"/>
      <c r="F291" s="4"/>
      <c r="G291" s="4"/>
      <c r="H291" s="6"/>
      <c r="I291" s="6"/>
      <c r="J291" s="6"/>
      <c r="K291" s="6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4"/>
      <c r="C292" s="4"/>
      <c r="D292" s="4"/>
      <c r="E292" s="4"/>
      <c r="F292" s="4"/>
      <c r="G292" s="4"/>
      <c r="H292" s="6"/>
      <c r="I292" s="6"/>
      <c r="J292" s="6"/>
      <c r="K292" s="6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4"/>
      <c r="C293" s="4"/>
      <c r="D293" s="4"/>
      <c r="E293" s="4"/>
      <c r="F293" s="4"/>
      <c r="G293" s="4"/>
      <c r="H293" s="6"/>
      <c r="I293" s="6"/>
      <c r="J293" s="6"/>
      <c r="K293" s="6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4"/>
      <c r="C294" s="4"/>
      <c r="D294" s="4"/>
      <c r="E294" s="4"/>
      <c r="F294" s="4"/>
      <c r="G294" s="4"/>
      <c r="H294" s="6"/>
      <c r="I294" s="6"/>
      <c r="J294" s="6"/>
      <c r="K294" s="6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4"/>
      <c r="C295" s="4"/>
      <c r="D295" s="4"/>
      <c r="E295" s="4"/>
      <c r="F295" s="4"/>
      <c r="G295" s="4"/>
      <c r="H295" s="6"/>
      <c r="I295" s="6"/>
      <c r="J295" s="6"/>
      <c r="K295" s="6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4"/>
      <c r="C296" s="4"/>
      <c r="D296" s="4"/>
      <c r="E296" s="4"/>
      <c r="F296" s="4"/>
      <c r="G296" s="4"/>
      <c r="H296" s="6"/>
      <c r="I296" s="6"/>
      <c r="J296" s="6"/>
      <c r="K296" s="6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4"/>
      <c r="C297" s="4"/>
      <c r="D297" s="4"/>
      <c r="E297" s="4"/>
      <c r="F297" s="4"/>
      <c r="G297" s="4"/>
      <c r="H297" s="6"/>
      <c r="I297" s="6"/>
      <c r="J297" s="6"/>
      <c r="K297" s="6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4"/>
      <c r="C298" s="4"/>
      <c r="D298" s="4"/>
      <c r="E298" s="4"/>
      <c r="F298" s="4"/>
      <c r="G298" s="4"/>
      <c r="H298" s="6"/>
      <c r="I298" s="6"/>
      <c r="J298" s="6"/>
      <c r="K298" s="6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4"/>
      <c r="C299" s="4"/>
      <c r="D299" s="4"/>
      <c r="E299" s="4"/>
      <c r="F299" s="4"/>
      <c r="G299" s="4"/>
      <c r="H299" s="6"/>
      <c r="I299" s="6"/>
      <c r="J299" s="6"/>
      <c r="K299" s="6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4"/>
      <c r="C300" s="4"/>
      <c r="D300" s="4"/>
      <c r="E300" s="4"/>
      <c r="F300" s="4"/>
      <c r="G300" s="4"/>
      <c r="H300" s="6"/>
      <c r="I300" s="6"/>
      <c r="J300" s="6"/>
      <c r="K300" s="6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4"/>
      <c r="C301" s="4"/>
      <c r="D301" s="4"/>
      <c r="E301" s="4"/>
      <c r="F301" s="4"/>
      <c r="G301" s="4"/>
      <c r="H301" s="6"/>
      <c r="I301" s="6"/>
      <c r="J301" s="6"/>
      <c r="K301" s="6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4"/>
      <c r="C302" s="4"/>
      <c r="D302" s="4"/>
      <c r="E302" s="4"/>
      <c r="F302" s="4"/>
      <c r="G302" s="4"/>
      <c r="H302" s="6"/>
      <c r="I302" s="6"/>
      <c r="J302" s="6"/>
      <c r="K302" s="6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4"/>
      <c r="C303" s="4"/>
      <c r="D303" s="4"/>
      <c r="E303" s="4"/>
      <c r="F303" s="4"/>
      <c r="G303" s="4"/>
      <c r="H303" s="6"/>
      <c r="I303" s="6"/>
      <c r="J303" s="6"/>
      <c r="K303" s="6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4"/>
      <c r="C304" s="4"/>
      <c r="D304" s="4"/>
      <c r="E304" s="4"/>
      <c r="F304" s="4"/>
      <c r="G304" s="4"/>
      <c r="H304" s="6"/>
      <c r="I304" s="6"/>
      <c r="J304" s="6"/>
      <c r="K304" s="6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4"/>
      <c r="C305" s="4"/>
      <c r="D305" s="4"/>
      <c r="E305" s="4"/>
      <c r="F305" s="4"/>
      <c r="G305" s="4"/>
      <c r="H305" s="6"/>
      <c r="I305" s="6"/>
      <c r="J305" s="6"/>
      <c r="K305" s="6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4"/>
      <c r="C306" s="4"/>
      <c r="D306" s="4"/>
      <c r="E306" s="4"/>
      <c r="F306" s="4"/>
      <c r="G306" s="4"/>
      <c r="H306" s="6"/>
      <c r="I306" s="6"/>
      <c r="J306" s="6"/>
      <c r="K306" s="6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4"/>
      <c r="C307" s="4"/>
      <c r="D307" s="4"/>
      <c r="E307" s="4"/>
      <c r="F307" s="4"/>
      <c r="G307" s="4"/>
      <c r="H307" s="6"/>
      <c r="I307" s="6"/>
      <c r="J307" s="6"/>
      <c r="K307" s="6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4"/>
      <c r="C308" s="4"/>
      <c r="D308" s="4"/>
      <c r="E308" s="4"/>
      <c r="F308" s="4"/>
      <c r="G308" s="4"/>
      <c r="H308" s="6"/>
      <c r="I308" s="6"/>
      <c r="J308" s="6"/>
      <c r="K308" s="6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4"/>
      <c r="C309" s="4"/>
      <c r="D309" s="4"/>
      <c r="E309" s="4"/>
      <c r="F309" s="4"/>
      <c r="G309" s="4"/>
      <c r="H309" s="6"/>
      <c r="I309" s="6"/>
      <c r="J309" s="6"/>
      <c r="K309" s="6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4"/>
      <c r="C310" s="4"/>
      <c r="D310" s="4"/>
      <c r="E310" s="4"/>
      <c r="F310" s="4"/>
      <c r="G310" s="4"/>
      <c r="H310" s="6"/>
      <c r="I310" s="6"/>
      <c r="J310" s="6"/>
      <c r="K310" s="6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4"/>
      <c r="C311" s="4"/>
      <c r="D311" s="4"/>
      <c r="E311" s="4"/>
      <c r="F311" s="4"/>
      <c r="G311" s="4"/>
      <c r="H311" s="6"/>
      <c r="I311" s="6"/>
      <c r="J311" s="6"/>
      <c r="K311" s="6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4"/>
      <c r="C312" s="4"/>
      <c r="D312" s="4"/>
      <c r="E312" s="4"/>
      <c r="F312" s="4"/>
      <c r="G312" s="4"/>
      <c r="H312" s="6"/>
      <c r="I312" s="6"/>
      <c r="J312" s="6"/>
      <c r="K312" s="6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4"/>
      <c r="C313" s="4"/>
      <c r="D313" s="4"/>
      <c r="E313" s="4"/>
      <c r="F313" s="4"/>
      <c r="G313" s="4"/>
      <c r="H313" s="6"/>
      <c r="I313" s="6"/>
      <c r="J313" s="6"/>
      <c r="K313" s="6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4"/>
      <c r="C314" s="4"/>
      <c r="D314" s="4"/>
      <c r="E314" s="4"/>
      <c r="F314" s="4"/>
      <c r="G314" s="4"/>
      <c r="H314" s="6"/>
      <c r="I314" s="6"/>
      <c r="J314" s="6"/>
      <c r="K314" s="6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4"/>
      <c r="C315" s="4"/>
      <c r="D315" s="4"/>
      <c r="E315" s="4"/>
      <c r="F315" s="4"/>
      <c r="G315" s="4"/>
      <c r="H315" s="6"/>
      <c r="I315" s="6"/>
      <c r="J315" s="6"/>
      <c r="K315" s="6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4"/>
      <c r="C316" s="4"/>
      <c r="D316" s="4"/>
      <c r="E316" s="4"/>
      <c r="F316" s="4"/>
      <c r="G316" s="4"/>
      <c r="H316" s="6"/>
      <c r="I316" s="6"/>
      <c r="J316" s="6"/>
      <c r="K316" s="6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4"/>
      <c r="C317" s="4"/>
      <c r="D317" s="4"/>
      <c r="E317" s="4"/>
      <c r="F317" s="4"/>
      <c r="G317" s="4"/>
      <c r="H317" s="6"/>
      <c r="I317" s="6"/>
      <c r="J317" s="6"/>
      <c r="K317" s="6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4"/>
      <c r="C318" s="4"/>
      <c r="D318" s="4"/>
      <c r="E318" s="4"/>
      <c r="F318" s="4"/>
      <c r="G318" s="4"/>
      <c r="H318" s="6"/>
      <c r="I318" s="6"/>
      <c r="J318" s="6"/>
      <c r="K318" s="6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4"/>
      <c r="C319" s="4"/>
      <c r="D319" s="4"/>
      <c r="E319" s="4"/>
      <c r="F319" s="4"/>
      <c r="G319" s="4"/>
      <c r="H319" s="6"/>
      <c r="I319" s="6"/>
      <c r="J319" s="6"/>
      <c r="K319" s="6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4"/>
      <c r="C320" s="4"/>
      <c r="D320" s="4"/>
      <c r="E320" s="4"/>
      <c r="F320" s="4"/>
      <c r="G320" s="4"/>
      <c r="H320" s="6"/>
      <c r="I320" s="6"/>
      <c r="J320" s="6"/>
      <c r="K320" s="6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4"/>
      <c r="C321" s="4"/>
      <c r="D321" s="4"/>
      <c r="E321" s="4"/>
      <c r="F321" s="4"/>
      <c r="G321" s="4"/>
      <c r="H321" s="6"/>
      <c r="I321" s="6"/>
      <c r="J321" s="6"/>
      <c r="K321" s="6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4"/>
      <c r="C322" s="4"/>
      <c r="D322" s="4"/>
      <c r="E322" s="4"/>
      <c r="F322" s="4"/>
      <c r="G322" s="4"/>
      <c r="H322" s="6"/>
      <c r="I322" s="6"/>
      <c r="J322" s="6"/>
      <c r="K322" s="6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4"/>
      <c r="C323" s="4"/>
      <c r="D323" s="4"/>
      <c r="E323" s="4"/>
      <c r="F323" s="4"/>
      <c r="G323" s="4"/>
      <c r="H323" s="6"/>
      <c r="I323" s="6"/>
      <c r="J323" s="6"/>
      <c r="K323" s="6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4"/>
      <c r="C324" s="4"/>
      <c r="D324" s="4"/>
      <c r="E324" s="4"/>
      <c r="F324" s="4"/>
      <c r="G324" s="4"/>
      <c r="H324" s="6"/>
      <c r="I324" s="6"/>
      <c r="J324" s="6"/>
      <c r="K324" s="6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4"/>
      <c r="C325" s="4"/>
      <c r="D325" s="4"/>
      <c r="E325" s="4"/>
      <c r="F325" s="4"/>
      <c r="G325" s="4"/>
      <c r="H325" s="6"/>
      <c r="I325" s="6"/>
      <c r="J325" s="6"/>
      <c r="K325" s="6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4"/>
      <c r="C326" s="4"/>
      <c r="D326" s="4"/>
      <c r="E326" s="4"/>
      <c r="F326" s="4"/>
      <c r="G326" s="4"/>
      <c r="H326" s="6"/>
      <c r="I326" s="6"/>
      <c r="J326" s="6"/>
      <c r="K326" s="6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4"/>
      <c r="C327" s="4"/>
      <c r="D327" s="4"/>
      <c r="E327" s="4"/>
      <c r="F327" s="4"/>
      <c r="G327" s="4"/>
      <c r="H327" s="6"/>
      <c r="I327" s="6"/>
      <c r="J327" s="6"/>
      <c r="K327" s="6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4"/>
      <c r="C328" s="4"/>
      <c r="D328" s="4"/>
      <c r="E328" s="4"/>
      <c r="F328" s="4"/>
      <c r="G328" s="4"/>
      <c r="H328" s="6"/>
      <c r="I328" s="6"/>
      <c r="J328" s="6"/>
      <c r="K328" s="6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4"/>
      <c r="C329" s="4"/>
      <c r="D329" s="4"/>
      <c r="E329" s="4"/>
      <c r="F329" s="4"/>
      <c r="G329" s="4"/>
      <c r="H329" s="6"/>
      <c r="I329" s="6"/>
      <c r="J329" s="6"/>
      <c r="K329" s="6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4"/>
      <c r="C330" s="4"/>
      <c r="D330" s="4"/>
      <c r="E330" s="4"/>
      <c r="F330" s="4"/>
      <c r="G330" s="4"/>
      <c r="H330" s="6"/>
      <c r="I330" s="6"/>
      <c r="J330" s="6"/>
      <c r="K330" s="6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4"/>
      <c r="C331" s="4"/>
      <c r="D331" s="4"/>
      <c r="E331" s="4"/>
      <c r="F331" s="4"/>
      <c r="G331" s="4"/>
      <c r="H331" s="6"/>
      <c r="I331" s="6"/>
      <c r="J331" s="6"/>
      <c r="K331" s="6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4"/>
      <c r="C332" s="4"/>
      <c r="D332" s="4"/>
      <c r="E332" s="4"/>
      <c r="F332" s="4"/>
      <c r="G332" s="4"/>
      <c r="H332" s="6"/>
      <c r="I332" s="6"/>
      <c r="J332" s="6"/>
      <c r="K332" s="6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4"/>
      <c r="C333" s="4"/>
      <c r="D333" s="4"/>
      <c r="E333" s="4"/>
      <c r="F333" s="4"/>
      <c r="G333" s="4"/>
      <c r="H333" s="6"/>
      <c r="I333" s="6"/>
      <c r="J333" s="6"/>
      <c r="K333" s="6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4"/>
      <c r="C334" s="4"/>
      <c r="D334" s="4"/>
      <c r="E334" s="4"/>
      <c r="F334" s="4"/>
      <c r="G334" s="4"/>
      <c r="H334" s="6"/>
      <c r="I334" s="6"/>
      <c r="J334" s="6"/>
      <c r="K334" s="6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4"/>
      <c r="C335" s="4"/>
      <c r="D335" s="4"/>
      <c r="E335" s="4"/>
      <c r="F335" s="4"/>
      <c r="G335" s="4"/>
      <c r="H335" s="6"/>
      <c r="I335" s="6"/>
      <c r="J335" s="6"/>
      <c r="K335" s="6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4"/>
      <c r="C336" s="4"/>
      <c r="D336" s="4"/>
      <c r="E336" s="4"/>
      <c r="F336" s="4"/>
      <c r="G336" s="4"/>
      <c r="H336" s="6"/>
      <c r="I336" s="6"/>
      <c r="J336" s="6"/>
      <c r="K336" s="6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4"/>
      <c r="C337" s="4"/>
      <c r="D337" s="4"/>
      <c r="E337" s="4"/>
      <c r="F337" s="4"/>
      <c r="G337" s="4"/>
      <c r="H337" s="6"/>
      <c r="I337" s="6"/>
      <c r="J337" s="6"/>
      <c r="K337" s="6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4"/>
      <c r="C338" s="4"/>
      <c r="D338" s="4"/>
      <c r="E338" s="4"/>
      <c r="F338" s="4"/>
      <c r="G338" s="4"/>
      <c r="H338" s="6"/>
      <c r="I338" s="6"/>
      <c r="J338" s="6"/>
      <c r="K338" s="6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4"/>
      <c r="C339" s="4"/>
      <c r="D339" s="4"/>
      <c r="E339" s="4"/>
      <c r="F339" s="4"/>
      <c r="G339" s="4"/>
      <c r="H339" s="6"/>
      <c r="I339" s="6"/>
      <c r="J339" s="6"/>
      <c r="K339" s="6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4"/>
      <c r="C340" s="4"/>
      <c r="D340" s="4"/>
      <c r="E340" s="4"/>
      <c r="F340" s="4"/>
      <c r="G340" s="4"/>
      <c r="H340" s="6"/>
      <c r="I340" s="6"/>
      <c r="J340" s="6"/>
      <c r="K340" s="6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4"/>
      <c r="C341" s="4"/>
      <c r="D341" s="4"/>
      <c r="E341" s="4"/>
      <c r="F341" s="4"/>
      <c r="G341" s="4"/>
      <c r="H341" s="6"/>
      <c r="I341" s="6"/>
      <c r="J341" s="6"/>
      <c r="K341" s="6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4"/>
      <c r="C342" s="4"/>
      <c r="D342" s="4"/>
      <c r="E342" s="4"/>
      <c r="F342" s="4"/>
      <c r="G342" s="4"/>
      <c r="H342" s="6"/>
      <c r="I342" s="6"/>
      <c r="J342" s="6"/>
      <c r="K342" s="6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4"/>
      <c r="C343" s="4"/>
      <c r="D343" s="4"/>
      <c r="E343" s="4"/>
      <c r="F343" s="4"/>
      <c r="G343" s="4"/>
      <c r="H343" s="6"/>
      <c r="I343" s="6"/>
      <c r="J343" s="6"/>
      <c r="K343" s="6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4"/>
      <c r="C344" s="4"/>
      <c r="D344" s="4"/>
      <c r="E344" s="4"/>
      <c r="F344" s="4"/>
      <c r="G344" s="4"/>
      <c r="H344" s="6"/>
      <c r="I344" s="6"/>
      <c r="J344" s="6"/>
      <c r="K344" s="6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4"/>
      <c r="C345" s="4"/>
      <c r="D345" s="4"/>
      <c r="E345" s="4"/>
      <c r="F345" s="4"/>
      <c r="G345" s="4"/>
      <c r="H345" s="6"/>
      <c r="I345" s="6"/>
      <c r="J345" s="6"/>
      <c r="K345" s="6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4"/>
      <c r="C346" s="4"/>
      <c r="D346" s="4"/>
      <c r="E346" s="4"/>
      <c r="F346" s="4"/>
      <c r="G346" s="4"/>
      <c r="H346" s="6"/>
      <c r="I346" s="6"/>
      <c r="J346" s="6"/>
      <c r="K346" s="6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4"/>
      <c r="C347" s="4"/>
      <c r="D347" s="4"/>
      <c r="E347" s="4"/>
      <c r="F347" s="4"/>
      <c r="G347" s="4"/>
      <c r="H347" s="6"/>
      <c r="I347" s="6"/>
      <c r="J347" s="6"/>
      <c r="K347" s="6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4"/>
      <c r="C348" s="4"/>
      <c r="D348" s="4"/>
      <c r="E348" s="4"/>
      <c r="F348" s="4"/>
      <c r="G348" s="4"/>
      <c r="H348" s="6"/>
      <c r="I348" s="6"/>
      <c r="J348" s="6"/>
      <c r="K348" s="6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4"/>
      <c r="C349" s="4"/>
      <c r="D349" s="4"/>
      <c r="E349" s="4"/>
      <c r="F349" s="4"/>
      <c r="G349" s="4"/>
      <c r="H349" s="6"/>
      <c r="I349" s="6"/>
      <c r="J349" s="6"/>
      <c r="K349" s="6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4"/>
      <c r="C350" s="4"/>
      <c r="D350" s="4"/>
      <c r="E350" s="4"/>
      <c r="F350" s="4"/>
      <c r="G350" s="4"/>
      <c r="H350" s="6"/>
      <c r="I350" s="6"/>
      <c r="J350" s="6"/>
      <c r="K350" s="6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4"/>
      <c r="C351" s="4"/>
      <c r="D351" s="4"/>
      <c r="E351" s="4"/>
      <c r="F351" s="4"/>
      <c r="G351" s="4"/>
      <c r="H351" s="6"/>
      <c r="I351" s="6"/>
      <c r="J351" s="6"/>
      <c r="K351" s="6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4"/>
      <c r="C352" s="4"/>
      <c r="D352" s="4"/>
      <c r="E352" s="4"/>
      <c r="F352" s="4"/>
      <c r="G352" s="4"/>
      <c r="H352" s="6"/>
      <c r="I352" s="6"/>
      <c r="J352" s="6"/>
      <c r="K352" s="6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4"/>
      <c r="C353" s="4"/>
      <c r="D353" s="4"/>
      <c r="E353" s="4"/>
      <c r="F353" s="4"/>
      <c r="G353" s="4"/>
      <c r="H353" s="6"/>
      <c r="I353" s="6"/>
      <c r="J353" s="6"/>
      <c r="K353" s="6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4"/>
      <c r="C354" s="4"/>
      <c r="D354" s="4"/>
      <c r="E354" s="4"/>
      <c r="F354" s="4"/>
      <c r="G354" s="4"/>
      <c r="H354" s="6"/>
      <c r="I354" s="6"/>
      <c r="J354" s="6"/>
      <c r="K354" s="6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4"/>
      <c r="C355" s="4"/>
      <c r="D355" s="4"/>
      <c r="E355" s="4"/>
      <c r="F355" s="4"/>
      <c r="G355" s="4"/>
      <c r="H355" s="6"/>
      <c r="I355" s="6"/>
      <c r="J355" s="6"/>
      <c r="K355" s="6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4"/>
      <c r="C356" s="4"/>
      <c r="D356" s="4"/>
      <c r="E356" s="4"/>
      <c r="F356" s="4"/>
      <c r="G356" s="4"/>
      <c r="H356" s="6"/>
      <c r="I356" s="6"/>
      <c r="J356" s="6"/>
      <c r="K356" s="6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4"/>
      <c r="C357" s="4"/>
      <c r="D357" s="4"/>
      <c r="E357" s="4"/>
      <c r="F357" s="4"/>
      <c r="G357" s="4"/>
      <c r="H357" s="6"/>
      <c r="I357" s="6"/>
      <c r="J357" s="6"/>
      <c r="K357" s="6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4"/>
      <c r="C358" s="4"/>
      <c r="D358" s="4"/>
      <c r="E358" s="4"/>
      <c r="F358" s="4"/>
      <c r="G358" s="4"/>
      <c r="H358" s="6"/>
      <c r="I358" s="6"/>
      <c r="J358" s="6"/>
      <c r="K358" s="6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4"/>
      <c r="C359" s="4"/>
      <c r="D359" s="4"/>
      <c r="E359" s="4"/>
      <c r="F359" s="4"/>
      <c r="G359" s="4"/>
      <c r="H359" s="6"/>
      <c r="I359" s="6"/>
      <c r="J359" s="6"/>
      <c r="K359" s="6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4"/>
      <c r="C360" s="4"/>
      <c r="D360" s="4"/>
      <c r="E360" s="4"/>
      <c r="F360" s="4"/>
      <c r="G360" s="4"/>
      <c r="H360" s="6"/>
      <c r="I360" s="6"/>
      <c r="J360" s="6"/>
      <c r="K360" s="6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4"/>
      <c r="C361" s="4"/>
      <c r="D361" s="4"/>
      <c r="E361" s="4"/>
      <c r="F361" s="4"/>
      <c r="G361" s="4"/>
      <c r="H361" s="6"/>
      <c r="I361" s="6"/>
      <c r="J361" s="6"/>
      <c r="K361" s="6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4"/>
      <c r="C362" s="4"/>
      <c r="D362" s="4"/>
      <c r="E362" s="4"/>
      <c r="F362" s="4"/>
      <c r="G362" s="4"/>
      <c r="H362" s="6"/>
      <c r="I362" s="6"/>
      <c r="J362" s="6"/>
      <c r="K362" s="6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4"/>
      <c r="C363" s="4"/>
      <c r="D363" s="4"/>
      <c r="E363" s="4"/>
      <c r="F363" s="4"/>
      <c r="G363" s="4"/>
      <c r="H363" s="6"/>
      <c r="I363" s="6"/>
      <c r="J363" s="6"/>
      <c r="K363" s="6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4"/>
      <c r="C364" s="4"/>
      <c r="D364" s="4"/>
      <c r="E364" s="4"/>
      <c r="F364" s="4"/>
      <c r="G364" s="4"/>
      <c r="H364" s="6"/>
      <c r="I364" s="6"/>
      <c r="J364" s="6"/>
      <c r="K364" s="6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4"/>
      <c r="C365" s="4"/>
      <c r="D365" s="4"/>
      <c r="E365" s="4"/>
      <c r="F365" s="4"/>
      <c r="G365" s="4"/>
      <c r="H365" s="6"/>
      <c r="I365" s="6"/>
      <c r="J365" s="6"/>
      <c r="K365" s="6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4"/>
      <c r="C366" s="4"/>
      <c r="D366" s="4"/>
      <c r="E366" s="4"/>
      <c r="F366" s="4"/>
      <c r="G366" s="4"/>
      <c r="H366" s="6"/>
      <c r="I366" s="6"/>
      <c r="J366" s="6"/>
      <c r="K366" s="6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4"/>
      <c r="C367" s="4"/>
      <c r="D367" s="4"/>
      <c r="E367" s="4"/>
      <c r="F367" s="4"/>
      <c r="G367" s="4"/>
      <c r="H367" s="6"/>
      <c r="I367" s="6"/>
      <c r="J367" s="6"/>
      <c r="K367" s="6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4"/>
      <c r="C368" s="4"/>
      <c r="D368" s="4"/>
      <c r="E368" s="4"/>
      <c r="F368" s="4"/>
      <c r="G368" s="4"/>
      <c r="H368" s="6"/>
      <c r="I368" s="6"/>
      <c r="J368" s="6"/>
      <c r="K368" s="6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4"/>
      <c r="C369" s="4"/>
      <c r="D369" s="4"/>
      <c r="E369" s="4"/>
      <c r="F369" s="4"/>
      <c r="G369" s="4"/>
      <c r="H369" s="6"/>
      <c r="I369" s="6"/>
      <c r="J369" s="6"/>
      <c r="K369" s="6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4"/>
      <c r="C370" s="4"/>
      <c r="D370" s="4"/>
      <c r="E370" s="4"/>
      <c r="F370" s="4"/>
      <c r="G370" s="4"/>
      <c r="H370" s="6"/>
      <c r="I370" s="6"/>
      <c r="J370" s="6"/>
      <c r="K370" s="6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4"/>
      <c r="C371" s="4"/>
      <c r="D371" s="4"/>
      <c r="E371" s="4"/>
      <c r="F371" s="4"/>
      <c r="G371" s="4"/>
      <c r="H371" s="6"/>
      <c r="I371" s="6"/>
      <c r="J371" s="6"/>
      <c r="K371" s="6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4"/>
      <c r="C372" s="4"/>
      <c r="D372" s="4"/>
      <c r="E372" s="4"/>
      <c r="F372" s="4"/>
      <c r="G372" s="4"/>
      <c r="H372" s="6"/>
      <c r="I372" s="6"/>
      <c r="J372" s="6"/>
      <c r="K372" s="6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4"/>
      <c r="C373" s="4"/>
      <c r="D373" s="4"/>
      <c r="E373" s="4"/>
      <c r="F373" s="4"/>
      <c r="G373" s="4"/>
      <c r="H373" s="6"/>
      <c r="I373" s="6"/>
      <c r="J373" s="6"/>
      <c r="K373" s="6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4"/>
      <c r="C374" s="4"/>
      <c r="D374" s="4"/>
      <c r="E374" s="4"/>
      <c r="F374" s="4"/>
      <c r="G374" s="4"/>
      <c r="H374" s="6"/>
      <c r="I374" s="6"/>
      <c r="J374" s="6"/>
      <c r="K374" s="6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4"/>
      <c r="C375" s="4"/>
      <c r="D375" s="4"/>
      <c r="E375" s="4"/>
      <c r="F375" s="4"/>
      <c r="G375" s="4"/>
      <c r="H375" s="6"/>
      <c r="I375" s="6"/>
      <c r="J375" s="6"/>
      <c r="K375" s="6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4"/>
      <c r="C376" s="4"/>
      <c r="D376" s="4"/>
      <c r="E376" s="4"/>
      <c r="F376" s="4"/>
      <c r="G376" s="4"/>
      <c r="H376" s="6"/>
      <c r="I376" s="6"/>
      <c r="J376" s="6"/>
      <c r="K376" s="6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4"/>
      <c r="C377" s="4"/>
      <c r="D377" s="4"/>
      <c r="E377" s="4"/>
      <c r="F377" s="4"/>
      <c r="G377" s="4"/>
      <c r="H377" s="6"/>
      <c r="I377" s="6"/>
      <c r="J377" s="6"/>
      <c r="K377" s="6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4"/>
      <c r="C378" s="4"/>
      <c r="D378" s="4"/>
      <c r="E378" s="4"/>
      <c r="F378" s="4"/>
      <c r="G378" s="4"/>
      <c r="H378" s="6"/>
      <c r="I378" s="6"/>
      <c r="J378" s="6"/>
      <c r="K378" s="6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4"/>
      <c r="C379" s="4"/>
      <c r="D379" s="4"/>
      <c r="E379" s="4"/>
      <c r="F379" s="4"/>
      <c r="G379" s="4"/>
      <c r="H379" s="6"/>
      <c r="I379" s="6"/>
      <c r="J379" s="6"/>
      <c r="K379" s="6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4"/>
      <c r="C380" s="4"/>
      <c r="D380" s="4"/>
      <c r="E380" s="4"/>
      <c r="F380" s="4"/>
      <c r="G380" s="4"/>
      <c r="H380" s="6"/>
      <c r="I380" s="6"/>
      <c r="J380" s="6"/>
      <c r="K380" s="6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4"/>
      <c r="C381" s="4"/>
      <c r="D381" s="4"/>
      <c r="E381" s="4"/>
      <c r="F381" s="4"/>
      <c r="G381" s="4"/>
      <c r="H381" s="6"/>
      <c r="I381" s="6"/>
      <c r="J381" s="6"/>
      <c r="K381" s="6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4"/>
      <c r="C382" s="4"/>
      <c r="D382" s="4"/>
      <c r="E382" s="4"/>
      <c r="F382" s="4"/>
      <c r="G382" s="4"/>
      <c r="H382" s="6"/>
      <c r="I382" s="6"/>
      <c r="J382" s="6"/>
      <c r="K382" s="6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4"/>
      <c r="C383" s="4"/>
      <c r="D383" s="4"/>
      <c r="E383" s="4"/>
      <c r="F383" s="4"/>
      <c r="G383" s="4"/>
      <c r="H383" s="6"/>
      <c r="I383" s="6"/>
      <c r="J383" s="6"/>
      <c r="K383" s="6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4"/>
      <c r="C384" s="4"/>
      <c r="D384" s="4"/>
      <c r="E384" s="4"/>
      <c r="F384" s="4"/>
      <c r="G384" s="4"/>
      <c r="H384" s="6"/>
      <c r="I384" s="6"/>
      <c r="J384" s="6"/>
      <c r="K384" s="6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4"/>
      <c r="C385" s="4"/>
      <c r="D385" s="4"/>
      <c r="E385" s="4"/>
      <c r="F385" s="4"/>
      <c r="G385" s="4"/>
      <c r="H385" s="6"/>
      <c r="I385" s="6"/>
      <c r="J385" s="6"/>
      <c r="K385" s="6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4"/>
      <c r="C386" s="4"/>
      <c r="D386" s="4"/>
      <c r="E386" s="4"/>
      <c r="F386" s="4"/>
      <c r="G386" s="4"/>
      <c r="H386" s="6"/>
      <c r="I386" s="6"/>
      <c r="J386" s="6"/>
      <c r="K386" s="6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4"/>
      <c r="C387" s="4"/>
      <c r="D387" s="4"/>
      <c r="E387" s="4"/>
      <c r="F387" s="4"/>
      <c r="G387" s="4"/>
      <c r="H387" s="6"/>
      <c r="I387" s="6"/>
      <c r="J387" s="6"/>
      <c r="K387" s="6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4"/>
      <c r="C388" s="4"/>
      <c r="D388" s="4"/>
      <c r="E388" s="4"/>
      <c r="F388" s="4"/>
      <c r="G388" s="4"/>
      <c r="H388" s="6"/>
      <c r="I388" s="6"/>
      <c r="J388" s="6"/>
      <c r="K388" s="6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4"/>
      <c r="C389" s="4"/>
      <c r="D389" s="4"/>
      <c r="E389" s="4"/>
      <c r="F389" s="4"/>
      <c r="G389" s="4"/>
      <c r="H389" s="6"/>
      <c r="I389" s="6"/>
      <c r="J389" s="6"/>
      <c r="K389" s="6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4"/>
      <c r="C390" s="4"/>
      <c r="D390" s="4"/>
      <c r="E390" s="4"/>
      <c r="F390" s="4"/>
      <c r="G390" s="4"/>
      <c r="H390" s="6"/>
      <c r="I390" s="6"/>
      <c r="J390" s="6"/>
      <c r="K390" s="6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4"/>
      <c r="C391" s="4"/>
      <c r="D391" s="4"/>
      <c r="E391" s="4"/>
      <c r="F391" s="4"/>
      <c r="G391" s="4"/>
      <c r="H391" s="6"/>
      <c r="I391" s="6"/>
      <c r="J391" s="6"/>
      <c r="K391" s="6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4"/>
      <c r="C392" s="4"/>
      <c r="D392" s="4"/>
      <c r="E392" s="4"/>
      <c r="F392" s="4"/>
      <c r="G392" s="4"/>
      <c r="H392" s="6"/>
      <c r="I392" s="6"/>
      <c r="J392" s="6"/>
      <c r="K392" s="6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4"/>
      <c r="C393" s="4"/>
      <c r="D393" s="4"/>
      <c r="E393" s="4"/>
      <c r="F393" s="4"/>
      <c r="G393" s="4"/>
      <c r="H393" s="6"/>
      <c r="I393" s="6"/>
      <c r="J393" s="6"/>
      <c r="K393" s="6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4"/>
      <c r="C394" s="4"/>
      <c r="D394" s="4"/>
      <c r="E394" s="4"/>
      <c r="F394" s="4"/>
      <c r="G394" s="4"/>
      <c r="H394" s="6"/>
      <c r="I394" s="6"/>
      <c r="J394" s="6"/>
      <c r="K394" s="6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4"/>
      <c r="C395" s="4"/>
      <c r="D395" s="4"/>
      <c r="E395" s="4"/>
      <c r="F395" s="4"/>
      <c r="G395" s="4"/>
      <c r="H395" s="6"/>
      <c r="I395" s="6"/>
      <c r="J395" s="6"/>
      <c r="K395" s="6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4"/>
      <c r="C396" s="4"/>
      <c r="D396" s="4"/>
      <c r="E396" s="4"/>
      <c r="F396" s="4"/>
      <c r="G396" s="4"/>
      <c r="H396" s="6"/>
      <c r="I396" s="6"/>
      <c r="J396" s="6"/>
      <c r="K396" s="6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4"/>
      <c r="C397" s="4"/>
      <c r="D397" s="4"/>
      <c r="E397" s="4"/>
      <c r="F397" s="4"/>
      <c r="G397" s="4"/>
      <c r="H397" s="6"/>
      <c r="I397" s="6"/>
      <c r="J397" s="6"/>
      <c r="K397" s="6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4"/>
      <c r="C398" s="4"/>
      <c r="D398" s="4"/>
      <c r="E398" s="4"/>
      <c r="F398" s="4"/>
      <c r="G398" s="4"/>
      <c r="H398" s="6"/>
      <c r="I398" s="6"/>
      <c r="J398" s="6"/>
      <c r="K398" s="6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4"/>
      <c r="C399" s="4"/>
      <c r="D399" s="4"/>
      <c r="E399" s="4"/>
      <c r="F399" s="4"/>
      <c r="G399" s="4"/>
      <c r="H399" s="6"/>
      <c r="I399" s="6"/>
      <c r="J399" s="6"/>
      <c r="K399" s="6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4"/>
      <c r="C400" s="4"/>
      <c r="D400" s="4"/>
      <c r="E400" s="4"/>
      <c r="F400" s="4"/>
      <c r="G400" s="4"/>
      <c r="H400" s="6"/>
      <c r="I400" s="6"/>
      <c r="J400" s="6"/>
      <c r="K400" s="6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4"/>
      <c r="C401" s="4"/>
      <c r="D401" s="4"/>
      <c r="E401" s="4"/>
      <c r="F401" s="4"/>
      <c r="G401" s="4"/>
      <c r="H401" s="6"/>
      <c r="I401" s="6"/>
      <c r="J401" s="6"/>
      <c r="K401" s="6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4"/>
      <c r="C402" s="4"/>
      <c r="D402" s="4"/>
      <c r="E402" s="4"/>
      <c r="F402" s="4"/>
      <c r="G402" s="4"/>
      <c r="H402" s="6"/>
      <c r="I402" s="6"/>
      <c r="J402" s="6"/>
      <c r="K402" s="6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4"/>
      <c r="C403" s="4"/>
      <c r="D403" s="4"/>
      <c r="E403" s="4"/>
      <c r="F403" s="4"/>
      <c r="G403" s="4"/>
      <c r="H403" s="6"/>
      <c r="I403" s="6"/>
      <c r="J403" s="6"/>
      <c r="K403" s="6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4"/>
      <c r="C404" s="4"/>
      <c r="D404" s="4"/>
      <c r="E404" s="4"/>
      <c r="F404" s="4"/>
      <c r="G404" s="4"/>
      <c r="H404" s="6"/>
      <c r="I404" s="6"/>
      <c r="J404" s="6"/>
      <c r="K404" s="6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4"/>
      <c r="C405" s="4"/>
      <c r="D405" s="4"/>
      <c r="E405" s="4"/>
      <c r="F405" s="4"/>
      <c r="G405" s="4"/>
      <c r="H405" s="6"/>
      <c r="I405" s="6"/>
      <c r="J405" s="6"/>
      <c r="K405" s="6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4"/>
      <c r="C406" s="4"/>
      <c r="D406" s="4"/>
      <c r="E406" s="4"/>
      <c r="F406" s="4"/>
      <c r="G406" s="4"/>
      <c r="H406" s="6"/>
      <c r="I406" s="6"/>
      <c r="J406" s="6"/>
      <c r="K406" s="6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4"/>
      <c r="C407" s="4"/>
      <c r="D407" s="4"/>
      <c r="E407" s="4"/>
      <c r="F407" s="4"/>
      <c r="G407" s="4"/>
      <c r="H407" s="6"/>
      <c r="I407" s="6"/>
      <c r="J407" s="6"/>
      <c r="K407" s="6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4"/>
      <c r="C408" s="4"/>
      <c r="D408" s="4"/>
      <c r="E408" s="4"/>
      <c r="F408" s="4"/>
      <c r="G408" s="4"/>
      <c r="H408" s="6"/>
      <c r="I408" s="6"/>
      <c r="J408" s="6"/>
      <c r="K408" s="6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4"/>
      <c r="C409" s="4"/>
      <c r="D409" s="4"/>
      <c r="E409" s="4"/>
      <c r="F409" s="4"/>
      <c r="G409" s="4"/>
      <c r="H409" s="6"/>
      <c r="I409" s="6"/>
      <c r="J409" s="6"/>
      <c r="K409" s="6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4"/>
      <c r="C410" s="4"/>
      <c r="D410" s="4"/>
      <c r="E410" s="4"/>
      <c r="F410" s="4"/>
      <c r="G410" s="4"/>
      <c r="H410" s="6"/>
      <c r="I410" s="6"/>
      <c r="J410" s="6"/>
      <c r="K410" s="6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4"/>
      <c r="C411" s="4"/>
      <c r="D411" s="4"/>
      <c r="E411" s="4"/>
      <c r="F411" s="4"/>
      <c r="G411" s="4"/>
      <c r="H411" s="6"/>
      <c r="I411" s="6"/>
      <c r="J411" s="6"/>
      <c r="K411" s="6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4"/>
      <c r="C412" s="4"/>
      <c r="D412" s="4"/>
      <c r="E412" s="4"/>
      <c r="F412" s="4"/>
      <c r="G412" s="4"/>
      <c r="H412" s="6"/>
      <c r="I412" s="6"/>
      <c r="J412" s="6"/>
      <c r="K412" s="6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4"/>
      <c r="C413" s="4"/>
      <c r="D413" s="4"/>
      <c r="E413" s="4"/>
      <c r="F413" s="4"/>
      <c r="G413" s="4"/>
      <c r="H413" s="6"/>
      <c r="I413" s="6"/>
      <c r="J413" s="6"/>
      <c r="K413" s="6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4"/>
      <c r="C414" s="4"/>
      <c r="D414" s="4"/>
      <c r="E414" s="4"/>
      <c r="F414" s="4"/>
      <c r="G414" s="4"/>
      <c r="H414" s="6"/>
      <c r="I414" s="6"/>
      <c r="J414" s="6"/>
      <c r="K414" s="6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4"/>
      <c r="C415" s="4"/>
      <c r="D415" s="4"/>
      <c r="E415" s="4"/>
      <c r="F415" s="4"/>
      <c r="G415" s="4"/>
      <c r="H415" s="6"/>
      <c r="I415" s="6"/>
      <c r="J415" s="6"/>
      <c r="K415" s="6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4"/>
      <c r="C416" s="4"/>
      <c r="D416" s="4"/>
      <c r="E416" s="4"/>
      <c r="F416" s="4"/>
      <c r="G416" s="4"/>
      <c r="H416" s="6"/>
      <c r="I416" s="6"/>
      <c r="J416" s="6"/>
      <c r="K416" s="6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4"/>
      <c r="C417" s="4"/>
      <c r="D417" s="4"/>
      <c r="E417" s="4"/>
      <c r="F417" s="4"/>
      <c r="G417" s="4"/>
      <c r="H417" s="6"/>
      <c r="I417" s="6"/>
      <c r="J417" s="6"/>
      <c r="K417" s="6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4"/>
      <c r="C418" s="4"/>
      <c r="D418" s="4"/>
      <c r="E418" s="4"/>
      <c r="F418" s="4"/>
      <c r="G418" s="4"/>
      <c r="H418" s="6"/>
      <c r="I418" s="6"/>
      <c r="J418" s="6"/>
      <c r="K418" s="6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4"/>
      <c r="C419" s="4"/>
      <c r="D419" s="4"/>
      <c r="E419" s="4"/>
      <c r="F419" s="4"/>
      <c r="G419" s="4"/>
      <c r="H419" s="6"/>
      <c r="I419" s="6"/>
      <c r="J419" s="6"/>
      <c r="K419" s="6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4"/>
      <c r="C420" s="4"/>
      <c r="D420" s="4"/>
      <c r="E420" s="4"/>
      <c r="F420" s="4"/>
      <c r="G420" s="4"/>
      <c r="H420" s="6"/>
      <c r="I420" s="6"/>
      <c r="J420" s="6"/>
      <c r="K420" s="6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4"/>
      <c r="C421" s="4"/>
      <c r="D421" s="4"/>
      <c r="E421" s="4"/>
      <c r="F421" s="4"/>
      <c r="G421" s="4"/>
      <c r="H421" s="6"/>
      <c r="I421" s="6"/>
      <c r="J421" s="6"/>
      <c r="K421" s="6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4"/>
      <c r="C422" s="4"/>
      <c r="D422" s="4"/>
      <c r="E422" s="4"/>
      <c r="F422" s="4"/>
      <c r="G422" s="4"/>
      <c r="H422" s="6"/>
      <c r="I422" s="6"/>
      <c r="J422" s="6"/>
      <c r="K422" s="6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4"/>
      <c r="C423" s="4"/>
      <c r="D423" s="4"/>
      <c r="E423" s="4"/>
      <c r="F423" s="4"/>
      <c r="G423" s="4"/>
      <c r="H423" s="6"/>
      <c r="I423" s="6"/>
      <c r="J423" s="6"/>
      <c r="K423" s="6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4"/>
      <c r="C424" s="4"/>
      <c r="D424" s="4"/>
      <c r="E424" s="4"/>
      <c r="F424" s="4"/>
      <c r="G424" s="4"/>
      <c r="H424" s="6"/>
      <c r="I424" s="6"/>
      <c r="J424" s="6"/>
      <c r="K424" s="6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4"/>
      <c r="C425" s="4"/>
      <c r="D425" s="4"/>
      <c r="E425" s="4"/>
      <c r="F425" s="4"/>
      <c r="G425" s="4"/>
      <c r="H425" s="6"/>
      <c r="I425" s="6"/>
      <c r="J425" s="6"/>
      <c r="K425" s="6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4"/>
      <c r="C426" s="4"/>
      <c r="D426" s="4"/>
      <c r="E426" s="4"/>
      <c r="F426" s="4"/>
      <c r="G426" s="4"/>
      <c r="H426" s="6"/>
      <c r="I426" s="6"/>
      <c r="J426" s="6"/>
      <c r="K426" s="6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4"/>
      <c r="C427" s="4"/>
      <c r="D427" s="4"/>
      <c r="E427" s="4"/>
      <c r="F427" s="4"/>
      <c r="G427" s="4"/>
      <c r="H427" s="6"/>
      <c r="I427" s="6"/>
      <c r="J427" s="6"/>
      <c r="K427" s="6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4"/>
      <c r="C428" s="4"/>
      <c r="D428" s="4"/>
      <c r="E428" s="4"/>
      <c r="F428" s="4"/>
      <c r="G428" s="4"/>
      <c r="H428" s="6"/>
      <c r="I428" s="6"/>
      <c r="J428" s="6"/>
      <c r="K428" s="6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4"/>
      <c r="C429" s="4"/>
      <c r="D429" s="4"/>
      <c r="E429" s="4"/>
      <c r="F429" s="4"/>
      <c r="G429" s="4"/>
      <c r="H429" s="6"/>
      <c r="I429" s="6"/>
      <c r="J429" s="6"/>
      <c r="K429" s="6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4"/>
      <c r="C430" s="4"/>
      <c r="D430" s="4"/>
      <c r="E430" s="4"/>
      <c r="F430" s="4"/>
      <c r="G430" s="4"/>
      <c r="H430" s="6"/>
      <c r="I430" s="6"/>
      <c r="J430" s="6"/>
      <c r="K430" s="6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4"/>
      <c r="C431" s="4"/>
      <c r="D431" s="4"/>
      <c r="E431" s="4"/>
      <c r="F431" s="4"/>
      <c r="G431" s="4"/>
      <c r="H431" s="6"/>
      <c r="I431" s="6"/>
      <c r="J431" s="6"/>
      <c r="K431" s="6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4"/>
      <c r="C432" s="4"/>
      <c r="D432" s="4"/>
      <c r="E432" s="4"/>
      <c r="F432" s="4"/>
      <c r="G432" s="4"/>
      <c r="H432" s="6"/>
      <c r="I432" s="6"/>
      <c r="J432" s="6"/>
      <c r="K432" s="6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4"/>
      <c r="C433" s="4"/>
      <c r="D433" s="4"/>
      <c r="E433" s="4"/>
      <c r="F433" s="4"/>
      <c r="G433" s="4"/>
      <c r="H433" s="6"/>
      <c r="I433" s="6"/>
      <c r="J433" s="6"/>
      <c r="K433" s="6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4"/>
      <c r="C434" s="4"/>
      <c r="D434" s="4"/>
      <c r="E434" s="4"/>
      <c r="F434" s="4"/>
      <c r="G434" s="4"/>
      <c r="H434" s="6"/>
      <c r="I434" s="6"/>
      <c r="J434" s="6"/>
      <c r="K434" s="6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4"/>
      <c r="C435" s="4"/>
      <c r="D435" s="4"/>
      <c r="E435" s="4"/>
      <c r="F435" s="4"/>
      <c r="G435" s="4"/>
      <c r="H435" s="6"/>
      <c r="I435" s="6"/>
      <c r="J435" s="6"/>
      <c r="K435" s="6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4"/>
      <c r="C436" s="4"/>
      <c r="D436" s="4"/>
      <c r="E436" s="4"/>
      <c r="F436" s="4"/>
      <c r="G436" s="4"/>
      <c r="H436" s="6"/>
      <c r="I436" s="6"/>
      <c r="J436" s="6"/>
      <c r="K436" s="6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4"/>
      <c r="C437" s="4"/>
      <c r="D437" s="4"/>
      <c r="E437" s="4"/>
      <c r="F437" s="4"/>
      <c r="G437" s="4"/>
      <c r="H437" s="6"/>
      <c r="I437" s="6"/>
      <c r="J437" s="6"/>
      <c r="K437" s="6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4"/>
      <c r="C438" s="4"/>
      <c r="D438" s="4"/>
      <c r="E438" s="4"/>
      <c r="F438" s="4"/>
      <c r="G438" s="4"/>
      <c r="H438" s="6"/>
      <c r="I438" s="6"/>
      <c r="J438" s="6"/>
      <c r="K438" s="6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4"/>
      <c r="C439" s="4"/>
      <c r="D439" s="4"/>
      <c r="E439" s="4"/>
      <c r="F439" s="4"/>
      <c r="G439" s="4"/>
      <c r="H439" s="6"/>
      <c r="I439" s="6"/>
      <c r="J439" s="6"/>
      <c r="K439" s="6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4"/>
      <c r="C440" s="4"/>
      <c r="D440" s="4"/>
      <c r="E440" s="4"/>
      <c r="F440" s="4"/>
      <c r="G440" s="4"/>
      <c r="H440" s="6"/>
      <c r="I440" s="6"/>
      <c r="J440" s="6"/>
      <c r="K440" s="6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4"/>
      <c r="C441" s="4"/>
      <c r="D441" s="4"/>
      <c r="E441" s="4"/>
      <c r="F441" s="4"/>
      <c r="G441" s="4"/>
      <c r="H441" s="6"/>
      <c r="I441" s="6"/>
      <c r="J441" s="6"/>
      <c r="K441" s="6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4"/>
      <c r="C442" s="4"/>
      <c r="D442" s="4"/>
      <c r="E442" s="4"/>
      <c r="F442" s="4"/>
      <c r="G442" s="4"/>
      <c r="H442" s="6"/>
      <c r="I442" s="6"/>
      <c r="J442" s="6"/>
      <c r="K442" s="6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4"/>
      <c r="C443" s="4"/>
      <c r="D443" s="4"/>
      <c r="E443" s="4"/>
      <c r="F443" s="4"/>
      <c r="G443" s="4"/>
      <c r="H443" s="6"/>
      <c r="I443" s="6"/>
      <c r="J443" s="6"/>
      <c r="K443" s="6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4"/>
      <c r="C444" s="4"/>
      <c r="D444" s="4"/>
      <c r="E444" s="4"/>
      <c r="F444" s="4"/>
      <c r="G444" s="4"/>
      <c r="H444" s="6"/>
      <c r="I444" s="6"/>
      <c r="J444" s="6"/>
      <c r="K444" s="6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4"/>
      <c r="C445" s="4"/>
      <c r="D445" s="4"/>
      <c r="E445" s="4"/>
      <c r="F445" s="4"/>
      <c r="G445" s="4"/>
      <c r="H445" s="6"/>
      <c r="I445" s="6"/>
      <c r="J445" s="6"/>
      <c r="K445" s="6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4"/>
      <c r="C446" s="4"/>
      <c r="D446" s="4"/>
      <c r="E446" s="4"/>
      <c r="F446" s="4"/>
      <c r="G446" s="4"/>
      <c r="H446" s="6"/>
      <c r="I446" s="6"/>
      <c r="J446" s="6"/>
      <c r="K446" s="6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4"/>
      <c r="C447" s="4"/>
      <c r="D447" s="4"/>
      <c r="E447" s="4"/>
      <c r="F447" s="4"/>
      <c r="G447" s="4"/>
      <c r="H447" s="6"/>
      <c r="I447" s="6"/>
      <c r="J447" s="6"/>
      <c r="K447" s="6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4"/>
      <c r="C448" s="4"/>
      <c r="D448" s="4"/>
      <c r="E448" s="4"/>
      <c r="F448" s="4"/>
      <c r="G448" s="4"/>
      <c r="H448" s="6"/>
      <c r="I448" s="6"/>
      <c r="J448" s="6"/>
      <c r="K448" s="6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4"/>
      <c r="C449" s="4"/>
      <c r="D449" s="4"/>
      <c r="E449" s="4"/>
      <c r="F449" s="4"/>
      <c r="G449" s="4"/>
      <c r="H449" s="6"/>
      <c r="I449" s="6"/>
      <c r="J449" s="6"/>
      <c r="K449" s="6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4"/>
      <c r="C450" s="4"/>
      <c r="D450" s="4"/>
      <c r="E450" s="4"/>
      <c r="F450" s="4"/>
      <c r="G450" s="4"/>
      <c r="H450" s="6"/>
      <c r="I450" s="6"/>
      <c r="J450" s="6"/>
      <c r="K450" s="6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4"/>
      <c r="C451" s="4"/>
      <c r="D451" s="4"/>
      <c r="E451" s="4"/>
      <c r="F451" s="4"/>
      <c r="G451" s="4"/>
      <c r="H451" s="6"/>
      <c r="I451" s="6"/>
      <c r="J451" s="6"/>
      <c r="K451" s="6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4"/>
      <c r="C452" s="4"/>
      <c r="D452" s="4"/>
      <c r="E452" s="4"/>
      <c r="F452" s="4"/>
      <c r="G452" s="4"/>
      <c r="H452" s="6"/>
      <c r="I452" s="6"/>
      <c r="J452" s="6"/>
      <c r="K452" s="6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4"/>
      <c r="C453" s="4"/>
      <c r="D453" s="4"/>
      <c r="E453" s="4"/>
      <c r="F453" s="4"/>
      <c r="G453" s="4"/>
      <c r="H453" s="6"/>
      <c r="I453" s="6"/>
      <c r="J453" s="6"/>
      <c r="K453" s="6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4"/>
      <c r="C454" s="4"/>
      <c r="D454" s="4"/>
      <c r="E454" s="4"/>
      <c r="F454" s="4"/>
      <c r="G454" s="4"/>
      <c r="H454" s="6"/>
      <c r="I454" s="6"/>
      <c r="J454" s="6"/>
      <c r="K454" s="6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4"/>
      <c r="C455" s="4"/>
      <c r="D455" s="4"/>
      <c r="E455" s="4"/>
      <c r="F455" s="4"/>
      <c r="G455" s="4"/>
      <c r="H455" s="6"/>
      <c r="I455" s="6"/>
      <c r="J455" s="6"/>
      <c r="K455" s="6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4"/>
      <c r="C456" s="4"/>
      <c r="D456" s="4"/>
      <c r="E456" s="4"/>
      <c r="F456" s="4"/>
      <c r="G456" s="4"/>
      <c r="H456" s="6"/>
      <c r="I456" s="6"/>
      <c r="J456" s="6"/>
      <c r="K456" s="6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4"/>
      <c r="C457" s="4"/>
      <c r="D457" s="4"/>
      <c r="E457" s="4"/>
      <c r="F457" s="4"/>
      <c r="G457" s="4"/>
      <c r="H457" s="6"/>
      <c r="I457" s="6"/>
      <c r="J457" s="6"/>
      <c r="K457" s="6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4"/>
      <c r="C458" s="4"/>
      <c r="D458" s="4"/>
      <c r="E458" s="4"/>
      <c r="F458" s="4"/>
      <c r="G458" s="4"/>
      <c r="H458" s="6"/>
      <c r="I458" s="6"/>
      <c r="J458" s="6"/>
      <c r="K458" s="6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4"/>
      <c r="C459" s="4"/>
      <c r="D459" s="4"/>
      <c r="E459" s="4"/>
      <c r="F459" s="4"/>
      <c r="G459" s="4"/>
      <c r="H459" s="6"/>
      <c r="I459" s="6"/>
      <c r="J459" s="6"/>
      <c r="K459" s="6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4"/>
      <c r="C460" s="4"/>
      <c r="D460" s="4"/>
      <c r="E460" s="4"/>
      <c r="F460" s="4"/>
      <c r="G460" s="4"/>
      <c r="H460" s="6"/>
      <c r="I460" s="6"/>
      <c r="J460" s="6"/>
      <c r="K460" s="6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4"/>
      <c r="C461" s="4"/>
      <c r="D461" s="4"/>
      <c r="E461" s="4"/>
      <c r="F461" s="4"/>
      <c r="G461" s="4"/>
      <c r="H461" s="6"/>
      <c r="I461" s="6"/>
      <c r="J461" s="6"/>
      <c r="K461" s="6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4"/>
      <c r="C462" s="4"/>
      <c r="D462" s="4"/>
      <c r="E462" s="4"/>
      <c r="F462" s="4"/>
      <c r="G462" s="4"/>
      <c r="H462" s="6"/>
      <c r="I462" s="6"/>
      <c r="J462" s="6"/>
      <c r="K462" s="6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4"/>
      <c r="C463" s="4"/>
      <c r="D463" s="4"/>
      <c r="E463" s="4"/>
      <c r="F463" s="4"/>
      <c r="G463" s="4"/>
      <c r="H463" s="6"/>
      <c r="I463" s="6"/>
      <c r="J463" s="6"/>
      <c r="K463" s="6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4"/>
      <c r="C464" s="4"/>
      <c r="D464" s="4"/>
      <c r="E464" s="4"/>
      <c r="F464" s="4"/>
      <c r="G464" s="4"/>
      <c r="H464" s="6"/>
      <c r="I464" s="6"/>
      <c r="J464" s="6"/>
      <c r="K464" s="6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4"/>
      <c r="C465" s="4"/>
      <c r="D465" s="4"/>
      <c r="E465" s="4"/>
      <c r="F465" s="4"/>
      <c r="G465" s="4"/>
      <c r="H465" s="6"/>
      <c r="I465" s="6"/>
      <c r="J465" s="6"/>
      <c r="K465" s="6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4"/>
      <c r="C466" s="4"/>
      <c r="D466" s="4"/>
      <c r="E466" s="4"/>
      <c r="F466" s="4"/>
      <c r="G466" s="4"/>
      <c r="H466" s="6"/>
      <c r="I466" s="6"/>
      <c r="J466" s="6"/>
      <c r="K466" s="6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4"/>
      <c r="C467" s="4"/>
      <c r="D467" s="4"/>
      <c r="E467" s="4"/>
      <c r="F467" s="4"/>
      <c r="G467" s="4"/>
      <c r="H467" s="6"/>
      <c r="I467" s="6"/>
      <c r="J467" s="6"/>
      <c r="K467" s="6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4"/>
      <c r="C468" s="4"/>
      <c r="D468" s="4"/>
      <c r="E468" s="4"/>
      <c r="F468" s="4"/>
      <c r="G468" s="4"/>
      <c r="H468" s="6"/>
      <c r="I468" s="6"/>
      <c r="J468" s="6"/>
      <c r="K468" s="6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4"/>
      <c r="C469" s="4"/>
      <c r="D469" s="4"/>
      <c r="E469" s="4"/>
      <c r="F469" s="4"/>
      <c r="G469" s="4"/>
      <c r="H469" s="6"/>
      <c r="I469" s="6"/>
      <c r="J469" s="6"/>
      <c r="K469" s="6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4"/>
      <c r="C470" s="4"/>
      <c r="D470" s="4"/>
      <c r="E470" s="4"/>
      <c r="F470" s="4"/>
      <c r="G470" s="4"/>
      <c r="H470" s="6"/>
      <c r="I470" s="6"/>
      <c r="J470" s="6"/>
      <c r="K470" s="6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4"/>
      <c r="C471" s="4"/>
      <c r="D471" s="4"/>
      <c r="E471" s="4"/>
      <c r="F471" s="4"/>
      <c r="G471" s="4"/>
      <c r="H471" s="6"/>
      <c r="I471" s="6"/>
      <c r="J471" s="6"/>
      <c r="K471" s="6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4"/>
      <c r="C472" s="4"/>
      <c r="D472" s="4"/>
      <c r="E472" s="4"/>
      <c r="F472" s="4"/>
      <c r="G472" s="4"/>
      <c r="H472" s="6"/>
      <c r="I472" s="6"/>
      <c r="J472" s="6"/>
      <c r="K472" s="6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4"/>
      <c r="C473" s="4"/>
      <c r="D473" s="4"/>
      <c r="E473" s="4"/>
      <c r="F473" s="4"/>
      <c r="G473" s="4"/>
      <c r="H473" s="6"/>
      <c r="I473" s="6"/>
      <c r="J473" s="6"/>
      <c r="K473" s="6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4"/>
      <c r="C474" s="4"/>
      <c r="D474" s="4"/>
      <c r="E474" s="4"/>
      <c r="F474" s="4"/>
      <c r="G474" s="4"/>
      <c r="H474" s="6"/>
      <c r="I474" s="6"/>
      <c r="J474" s="6"/>
      <c r="K474" s="6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4"/>
      <c r="C475" s="4"/>
      <c r="D475" s="4"/>
      <c r="E475" s="4"/>
      <c r="F475" s="4"/>
      <c r="G475" s="4"/>
      <c r="H475" s="6"/>
      <c r="I475" s="6"/>
      <c r="J475" s="6"/>
      <c r="K475" s="6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4"/>
      <c r="C476" s="4"/>
      <c r="D476" s="4"/>
      <c r="E476" s="4"/>
      <c r="F476" s="4"/>
      <c r="G476" s="4"/>
      <c r="H476" s="6"/>
      <c r="I476" s="6"/>
      <c r="J476" s="6"/>
      <c r="K476" s="6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4"/>
      <c r="C477" s="4"/>
      <c r="D477" s="4"/>
      <c r="E477" s="4"/>
      <c r="F477" s="4"/>
      <c r="G477" s="4"/>
      <c r="H477" s="6"/>
      <c r="I477" s="6"/>
      <c r="J477" s="6"/>
      <c r="K477" s="6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4"/>
      <c r="C478" s="4"/>
      <c r="D478" s="4"/>
      <c r="E478" s="4"/>
      <c r="F478" s="4"/>
      <c r="G478" s="4"/>
      <c r="H478" s="6"/>
      <c r="I478" s="6"/>
      <c r="J478" s="6"/>
      <c r="K478" s="6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4"/>
      <c r="C479" s="4"/>
      <c r="D479" s="4"/>
      <c r="E479" s="4"/>
      <c r="F479" s="4"/>
      <c r="G479" s="4"/>
      <c r="H479" s="6"/>
      <c r="I479" s="6"/>
      <c r="J479" s="6"/>
      <c r="K479" s="6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4"/>
      <c r="C480" s="4"/>
      <c r="D480" s="4"/>
      <c r="E480" s="4"/>
      <c r="F480" s="4"/>
      <c r="G480" s="4"/>
      <c r="H480" s="6"/>
      <c r="I480" s="6"/>
      <c r="J480" s="6"/>
      <c r="K480" s="6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4"/>
      <c r="C481" s="4"/>
      <c r="D481" s="4"/>
      <c r="E481" s="4"/>
      <c r="F481" s="4"/>
      <c r="G481" s="4"/>
      <c r="H481" s="6"/>
      <c r="I481" s="6"/>
      <c r="J481" s="6"/>
      <c r="K481" s="6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4"/>
      <c r="C482" s="4"/>
      <c r="D482" s="4"/>
      <c r="E482" s="4"/>
      <c r="F482" s="4"/>
      <c r="G482" s="4"/>
      <c r="H482" s="6"/>
      <c r="I482" s="6"/>
      <c r="J482" s="6"/>
      <c r="K482" s="6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4"/>
      <c r="C483" s="4"/>
      <c r="D483" s="4"/>
      <c r="E483" s="4"/>
      <c r="F483" s="4"/>
      <c r="G483" s="4"/>
      <c r="H483" s="6"/>
      <c r="I483" s="6"/>
      <c r="J483" s="6"/>
      <c r="K483" s="6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4"/>
      <c r="C484" s="4"/>
      <c r="D484" s="4"/>
      <c r="E484" s="4"/>
      <c r="F484" s="4"/>
      <c r="G484" s="4"/>
      <c r="H484" s="6"/>
      <c r="I484" s="6"/>
      <c r="J484" s="6"/>
      <c r="K484" s="6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4"/>
      <c r="C485" s="4"/>
      <c r="D485" s="4"/>
      <c r="E485" s="4"/>
      <c r="F485" s="4"/>
      <c r="G485" s="4"/>
      <c r="H485" s="6"/>
      <c r="I485" s="6"/>
      <c r="J485" s="6"/>
      <c r="K485" s="6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4"/>
      <c r="C486" s="4"/>
      <c r="D486" s="4"/>
      <c r="E486" s="4"/>
      <c r="F486" s="4"/>
      <c r="G486" s="4"/>
      <c r="H486" s="6"/>
      <c r="I486" s="6"/>
      <c r="J486" s="6"/>
      <c r="K486" s="6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4"/>
      <c r="C487" s="4"/>
      <c r="D487" s="4"/>
      <c r="E487" s="4"/>
      <c r="F487" s="4"/>
      <c r="G487" s="4"/>
      <c r="H487" s="6"/>
      <c r="I487" s="6"/>
      <c r="J487" s="6"/>
      <c r="K487" s="6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4"/>
      <c r="C488" s="4"/>
      <c r="D488" s="4"/>
      <c r="E488" s="4"/>
      <c r="F488" s="4"/>
      <c r="G488" s="4"/>
      <c r="H488" s="6"/>
      <c r="I488" s="6"/>
      <c r="J488" s="6"/>
      <c r="K488" s="6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4"/>
      <c r="C489" s="4"/>
      <c r="D489" s="4"/>
      <c r="E489" s="4"/>
      <c r="F489" s="4"/>
      <c r="G489" s="4"/>
      <c r="H489" s="6"/>
      <c r="I489" s="6"/>
      <c r="J489" s="6"/>
      <c r="K489" s="6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4"/>
      <c r="C490" s="4"/>
      <c r="D490" s="4"/>
      <c r="E490" s="4"/>
      <c r="F490" s="4"/>
      <c r="G490" s="4"/>
      <c r="H490" s="6"/>
      <c r="I490" s="6"/>
      <c r="J490" s="6"/>
      <c r="K490" s="6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4"/>
      <c r="C491" s="4"/>
      <c r="D491" s="4"/>
      <c r="E491" s="4"/>
      <c r="F491" s="4"/>
      <c r="G491" s="4"/>
      <c r="H491" s="6"/>
      <c r="I491" s="6"/>
      <c r="J491" s="6"/>
      <c r="K491" s="6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4"/>
      <c r="C492" s="4"/>
      <c r="D492" s="4"/>
      <c r="E492" s="4"/>
      <c r="F492" s="4"/>
      <c r="G492" s="4"/>
      <c r="H492" s="6"/>
      <c r="I492" s="6"/>
      <c r="J492" s="6"/>
      <c r="K492" s="6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4"/>
      <c r="C493" s="4"/>
      <c r="D493" s="4"/>
      <c r="E493" s="4"/>
      <c r="F493" s="4"/>
      <c r="G493" s="4"/>
      <c r="H493" s="6"/>
      <c r="I493" s="6"/>
      <c r="J493" s="6"/>
      <c r="K493" s="6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4"/>
      <c r="C494" s="4"/>
      <c r="D494" s="4"/>
      <c r="E494" s="4"/>
      <c r="F494" s="4"/>
      <c r="G494" s="4"/>
      <c r="H494" s="6"/>
      <c r="I494" s="6"/>
      <c r="J494" s="6"/>
      <c r="K494" s="6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4"/>
      <c r="C495" s="4"/>
      <c r="D495" s="4"/>
      <c r="E495" s="4"/>
      <c r="F495" s="4"/>
      <c r="G495" s="4"/>
      <c r="H495" s="6"/>
      <c r="I495" s="6"/>
      <c r="J495" s="6"/>
      <c r="K495" s="6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4"/>
      <c r="C496" s="4"/>
      <c r="D496" s="4"/>
      <c r="E496" s="4"/>
      <c r="F496" s="4"/>
      <c r="G496" s="4"/>
      <c r="H496" s="6"/>
      <c r="I496" s="6"/>
      <c r="J496" s="6"/>
      <c r="K496" s="6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4"/>
      <c r="C497" s="4"/>
      <c r="D497" s="4"/>
      <c r="E497" s="4"/>
      <c r="F497" s="4"/>
      <c r="G497" s="4"/>
      <c r="H497" s="6"/>
      <c r="I497" s="6"/>
      <c r="J497" s="6"/>
      <c r="K497" s="6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4"/>
      <c r="C498" s="4"/>
      <c r="D498" s="4"/>
      <c r="E498" s="4"/>
      <c r="F498" s="4"/>
      <c r="G498" s="4"/>
      <c r="H498" s="6"/>
      <c r="I498" s="6"/>
      <c r="J498" s="6"/>
      <c r="K498" s="6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4"/>
      <c r="C499" s="4"/>
      <c r="D499" s="4"/>
      <c r="E499" s="4"/>
      <c r="F499" s="4"/>
      <c r="G499" s="4"/>
      <c r="H499" s="6"/>
      <c r="I499" s="6"/>
      <c r="J499" s="6"/>
      <c r="K499" s="6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4"/>
      <c r="C500" s="4"/>
      <c r="D500" s="4"/>
      <c r="E500" s="4"/>
      <c r="F500" s="4"/>
      <c r="G500" s="4"/>
      <c r="H500" s="6"/>
      <c r="I500" s="6"/>
      <c r="J500" s="6"/>
      <c r="K500" s="6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4"/>
      <c r="C501" s="4"/>
      <c r="D501" s="4"/>
      <c r="E501" s="4"/>
      <c r="F501" s="4"/>
      <c r="G501" s="4"/>
      <c r="H501" s="6"/>
      <c r="I501" s="6"/>
      <c r="J501" s="6"/>
      <c r="K501" s="6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4"/>
      <c r="C502" s="4"/>
      <c r="D502" s="4"/>
      <c r="E502" s="4"/>
      <c r="F502" s="4"/>
      <c r="G502" s="4"/>
      <c r="H502" s="6"/>
      <c r="I502" s="6"/>
      <c r="J502" s="6"/>
      <c r="K502" s="6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4"/>
      <c r="C503" s="4"/>
      <c r="D503" s="4"/>
      <c r="E503" s="4"/>
      <c r="F503" s="4"/>
      <c r="G503" s="4"/>
      <c r="H503" s="6"/>
      <c r="I503" s="6"/>
      <c r="J503" s="6"/>
      <c r="K503" s="6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4"/>
      <c r="C504" s="4"/>
      <c r="D504" s="4"/>
      <c r="E504" s="4"/>
      <c r="F504" s="4"/>
      <c r="G504" s="4"/>
      <c r="H504" s="6"/>
      <c r="I504" s="6"/>
      <c r="J504" s="6"/>
      <c r="K504" s="6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4"/>
      <c r="C505" s="4"/>
      <c r="D505" s="4"/>
      <c r="E505" s="4"/>
      <c r="F505" s="4"/>
      <c r="G505" s="4"/>
      <c r="H505" s="6"/>
      <c r="I505" s="6"/>
      <c r="J505" s="6"/>
      <c r="K505" s="6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4"/>
      <c r="C506" s="4"/>
      <c r="D506" s="4"/>
      <c r="E506" s="4"/>
      <c r="F506" s="4"/>
      <c r="G506" s="4"/>
      <c r="H506" s="6"/>
      <c r="I506" s="6"/>
      <c r="J506" s="6"/>
      <c r="K506" s="6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4"/>
      <c r="C507" s="4"/>
      <c r="D507" s="4"/>
      <c r="E507" s="4"/>
      <c r="F507" s="4"/>
      <c r="G507" s="4"/>
      <c r="H507" s="6"/>
      <c r="I507" s="6"/>
      <c r="J507" s="6"/>
      <c r="K507" s="6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4"/>
      <c r="C508" s="4"/>
      <c r="D508" s="4"/>
      <c r="E508" s="4"/>
      <c r="F508" s="4"/>
      <c r="G508" s="4"/>
      <c r="H508" s="6"/>
      <c r="I508" s="6"/>
      <c r="J508" s="6"/>
      <c r="K508" s="6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4"/>
      <c r="C509" s="4"/>
      <c r="D509" s="4"/>
      <c r="E509" s="4"/>
      <c r="F509" s="4"/>
      <c r="G509" s="4"/>
      <c r="H509" s="6"/>
      <c r="I509" s="6"/>
      <c r="J509" s="6"/>
      <c r="K509" s="6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4"/>
      <c r="C510" s="4"/>
      <c r="D510" s="4"/>
      <c r="E510" s="4"/>
      <c r="F510" s="4"/>
      <c r="G510" s="4"/>
      <c r="H510" s="6"/>
      <c r="I510" s="6"/>
      <c r="J510" s="6"/>
      <c r="K510" s="6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4"/>
      <c r="C511" s="4"/>
      <c r="D511" s="4"/>
      <c r="E511" s="4"/>
      <c r="F511" s="4"/>
      <c r="G511" s="4"/>
      <c r="H511" s="6"/>
      <c r="I511" s="6"/>
      <c r="J511" s="6"/>
      <c r="K511" s="6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4"/>
      <c r="C512" s="4"/>
      <c r="D512" s="4"/>
      <c r="E512" s="4"/>
      <c r="F512" s="4"/>
      <c r="G512" s="4"/>
      <c r="H512" s="6"/>
      <c r="I512" s="6"/>
      <c r="J512" s="6"/>
      <c r="K512" s="6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4"/>
      <c r="C513" s="4"/>
      <c r="D513" s="4"/>
      <c r="E513" s="4"/>
      <c r="F513" s="4"/>
      <c r="G513" s="4"/>
      <c r="H513" s="6"/>
      <c r="I513" s="6"/>
      <c r="J513" s="6"/>
      <c r="K513" s="6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4"/>
      <c r="C514" s="4"/>
      <c r="D514" s="4"/>
      <c r="E514" s="4"/>
      <c r="F514" s="4"/>
      <c r="G514" s="4"/>
      <c r="H514" s="6"/>
      <c r="I514" s="6"/>
      <c r="J514" s="6"/>
      <c r="K514" s="6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4"/>
      <c r="C515" s="4"/>
      <c r="D515" s="4"/>
      <c r="E515" s="4"/>
      <c r="F515" s="4"/>
      <c r="G515" s="4"/>
      <c r="H515" s="6"/>
      <c r="I515" s="6"/>
      <c r="J515" s="6"/>
      <c r="K515" s="6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4"/>
      <c r="C516" s="4"/>
      <c r="D516" s="4"/>
      <c r="E516" s="4"/>
      <c r="F516" s="4"/>
      <c r="G516" s="4"/>
      <c r="H516" s="6"/>
      <c r="I516" s="6"/>
      <c r="J516" s="6"/>
      <c r="K516" s="6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4"/>
      <c r="C517" s="4"/>
      <c r="D517" s="4"/>
      <c r="E517" s="4"/>
      <c r="F517" s="4"/>
      <c r="G517" s="4"/>
      <c r="H517" s="6"/>
      <c r="I517" s="6"/>
      <c r="J517" s="6"/>
      <c r="K517" s="6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4"/>
      <c r="C518" s="4"/>
      <c r="D518" s="4"/>
      <c r="E518" s="4"/>
      <c r="F518" s="4"/>
      <c r="G518" s="4"/>
      <c r="H518" s="6"/>
      <c r="I518" s="6"/>
      <c r="J518" s="6"/>
      <c r="K518" s="6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4"/>
      <c r="C519" s="4"/>
      <c r="D519" s="4"/>
      <c r="E519" s="4"/>
      <c r="F519" s="4"/>
      <c r="G519" s="4"/>
      <c r="H519" s="6"/>
      <c r="I519" s="6"/>
      <c r="J519" s="6"/>
      <c r="K519" s="6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4"/>
      <c r="C520" s="4"/>
      <c r="D520" s="4"/>
      <c r="E520" s="4"/>
      <c r="F520" s="4"/>
      <c r="G520" s="4"/>
      <c r="H520" s="6"/>
      <c r="I520" s="6"/>
      <c r="J520" s="6"/>
      <c r="K520" s="6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4"/>
      <c r="C521" s="4"/>
      <c r="D521" s="4"/>
      <c r="E521" s="4"/>
      <c r="F521" s="4"/>
      <c r="G521" s="4"/>
      <c r="H521" s="6"/>
      <c r="I521" s="6"/>
      <c r="J521" s="6"/>
      <c r="K521" s="6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4"/>
      <c r="C522" s="4"/>
      <c r="D522" s="4"/>
      <c r="E522" s="4"/>
      <c r="F522" s="4"/>
      <c r="G522" s="4"/>
      <c r="H522" s="6"/>
      <c r="I522" s="6"/>
      <c r="J522" s="6"/>
      <c r="K522" s="6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4"/>
      <c r="C523" s="4"/>
      <c r="D523" s="4"/>
      <c r="E523" s="4"/>
      <c r="F523" s="4"/>
      <c r="G523" s="4"/>
      <c r="H523" s="6"/>
      <c r="I523" s="6"/>
      <c r="J523" s="6"/>
      <c r="K523" s="6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4"/>
      <c r="C524" s="4"/>
      <c r="D524" s="4"/>
      <c r="E524" s="4"/>
      <c r="F524" s="4"/>
      <c r="G524" s="4"/>
      <c r="H524" s="6"/>
      <c r="I524" s="6"/>
      <c r="J524" s="6"/>
      <c r="K524" s="6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4"/>
      <c r="C525" s="4"/>
      <c r="D525" s="4"/>
      <c r="E525" s="4"/>
      <c r="F525" s="4"/>
      <c r="G525" s="4"/>
      <c r="H525" s="6"/>
      <c r="I525" s="6"/>
      <c r="J525" s="6"/>
      <c r="K525" s="6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4"/>
      <c r="C526" s="4"/>
      <c r="D526" s="4"/>
      <c r="E526" s="4"/>
      <c r="F526" s="4"/>
      <c r="G526" s="4"/>
      <c r="H526" s="6"/>
      <c r="I526" s="6"/>
      <c r="J526" s="6"/>
      <c r="K526" s="6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4"/>
      <c r="C527" s="4"/>
      <c r="D527" s="4"/>
      <c r="E527" s="4"/>
      <c r="F527" s="4"/>
      <c r="G527" s="4"/>
      <c r="H527" s="6"/>
      <c r="I527" s="6"/>
      <c r="J527" s="6"/>
      <c r="K527" s="6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4"/>
      <c r="C528" s="4"/>
      <c r="D528" s="4"/>
      <c r="E528" s="4"/>
      <c r="F528" s="4"/>
      <c r="G528" s="4"/>
      <c r="H528" s="6"/>
      <c r="I528" s="6"/>
      <c r="J528" s="6"/>
      <c r="K528" s="6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4"/>
      <c r="C529" s="4"/>
      <c r="D529" s="4"/>
      <c r="E529" s="4"/>
      <c r="F529" s="4"/>
      <c r="G529" s="4"/>
      <c r="H529" s="6"/>
      <c r="I529" s="6"/>
      <c r="J529" s="6"/>
      <c r="K529" s="6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4"/>
      <c r="C530" s="4"/>
      <c r="D530" s="4"/>
      <c r="E530" s="4"/>
      <c r="F530" s="4"/>
      <c r="G530" s="4"/>
      <c r="H530" s="6"/>
      <c r="I530" s="6"/>
      <c r="J530" s="6"/>
      <c r="K530" s="6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4"/>
      <c r="C531" s="4"/>
      <c r="D531" s="4"/>
      <c r="E531" s="4"/>
      <c r="F531" s="4"/>
      <c r="G531" s="4"/>
      <c r="H531" s="6"/>
      <c r="I531" s="6"/>
      <c r="J531" s="6"/>
      <c r="K531" s="6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4"/>
      <c r="C532" s="4"/>
      <c r="D532" s="4"/>
      <c r="E532" s="4"/>
      <c r="F532" s="4"/>
      <c r="G532" s="4"/>
      <c r="H532" s="6"/>
      <c r="I532" s="6"/>
      <c r="J532" s="6"/>
      <c r="K532" s="6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4"/>
      <c r="C533" s="4"/>
      <c r="D533" s="4"/>
      <c r="E533" s="4"/>
      <c r="F533" s="4"/>
      <c r="G533" s="4"/>
      <c r="H533" s="6"/>
      <c r="I533" s="6"/>
      <c r="J533" s="6"/>
      <c r="K533" s="6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4"/>
      <c r="C534" s="4"/>
      <c r="D534" s="4"/>
      <c r="E534" s="4"/>
      <c r="F534" s="4"/>
      <c r="G534" s="4"/>
      <c r="H534" s="6"/>
      <c r="I534" s="6"/>
      <c r="J534" s="6"/>
      <c r="K534" s="6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4"/>
      <c r="C535" s="4"/>
      <c r="D535" s="4"/>
      <c r="E535" s="4"/>
      <c r="F535" s="4"/>
      <c r="G535" s="4"/>
      <c r="H535" s="6"/>
      <c r="I535" s="6"/>
      <c r="J535" s="6"/>
      <c r="K535" s="6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4"/>
      <c r="C536" s="4"/>
      <c r="D536" s="4"/>
      <c r="E536" s="4"/>
      <c r="F536" s="4"/>
      <c r="G536" s="4"/>
      <c r="H536" s="6"/>
      <c r="I536" s="6"/>
      <c r="J536" s="6"/>
      <c r="K536" s="6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4"/>
      <c r="C537" s="4"/>
      <c r="D537" s="4"/>
      <c r="E537" s="4"/>
      <c r="F537" s="4"/>
      <c r="G537" s="4"/>
      <c r="H537" s="6"/>
      <c r="I537" s="6"/>
      <c r="J537" s="6"/>
      <c r="K537" s="6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4"/>
      <c r="C538" s="4"/>
      <c r="D538" s="4"/>
      <c r="E538" s="4"/>
      <c r="F538" s="4"/>
      <c r="G538" s="4"/>
      <c r="H538" s="6"/>
      <c r="I538" s="6"/>
      <c r="J538" s="6"/>
      <c r="K538" s="6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4"/>
      <c r="C539" s="4"/>
      <c r="D539" s="4"/>
      <c r="E539" s="4"/>
      <c r="F539" s="4"/>
      <c r="G539" s="4"/>
      <c r="H539" s="6"/>
      <c r="I539" s="6"/>
      <c r="J539" s="6"/>
      <c r="K539" s="6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4"/>
      <c r="C540" s="4"/>
      <c r="D540" s="4"/>
      <c r="E540" s="4"/>
      <c r="F540" s="4"/>
      <c r="G540" s="4"/>
      <c r="H540" s="6"/>
      <c r="I540" s="6"/>
      <c r="J540" s="6"/>
      <c r="K540" s="6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4"/>
      <c r="C541" s="4"/>
      <c r="D541" s="4"/>
      <c r="E541" s="4"/>
      <c r="F541" s="4"/>
      <c r="G541" s="4"/>
      <c r="H541" s="6"/>
      <c r="I541" s="6"/>
      <c r="J541" s="6"/>
      <c r="K541" s="6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4"/>
      <c r="C542" s="4"/>
      <c r="D542" s="4"/>
      <c r="E542" s="4"/>
      <c r="F542" s="4"/>
      <c r="G542" s="4"/>
      <c r="H542" s="6"/>
      <c r="I542" s="6"/>
      <c r="J542" s="6"/>
      <c r="K542" s="6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4"/>
      <c r="C543" s="4"/>
      <c r="D543" s="4"/>
      <c r="E543" s="4"/>
      <c r="F543" s="4"/>
      <c r="G543" s="4"/>
      <c r="H543" s="6"/>
      <c r="I543" s="6"/>
      <c r="J543" s="6"/>
      <c r="K543" s="6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4"/>
      <c r="C544" s="4"/>
      <c r="D544" s="4"/>
      <c r="E544" s="4"/>
      <c r="F544" s="4"/>
      <c r="G544" s="4"/>
      <c r="H544" s="6"/>
      <c r="I544" s="6"/>
      <c r="J544" s="6"/>
      <c r="K544" s="6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4"/>
      <c r="C545" s="4"/>
      <c r="D545" s="4"/>
      <c r="E545" s="4"/>
      <c r="F545" s="4"/>
      <c r="G545" s="4"/>
      <c r="H545" s="6"/>
      <c r="I545" s="6"/>
      <c r="J545" s="6"/>
      <c r="K545" s="6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4"/>
      <c r="C546" s="4"/>
      <c r="D546" s="4"/>
      <c r="E546" s="4"/>
      <c r="F546" s="4"/>
      <c r="G546" s="4"/>
      <c r="H546" s="6"/>
      <c r="I546" s="6"/>
      <c r="J546" s="6"/>
      <c r="K546" s="6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4"/>
      <c r="C547" s="4"/>
      <c r="D547" s="4"/>
      <c r="E547" s="4"/>
      <c r="F547" s="4"/>
      <c r="G547" s="4"/>
      <c r="H547" s="6"/>
      <c r="I547" s="6"/>
      <c r="J547" s="6"/>
      <c r="K547" s="6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4"/>
      <c r="C548" s="4"/>
      <c r="D548" s="4"/>
      <c r="E548" s="4"/>
      <c r="F548" s="4"/>
      <c r="G548" s="4"/>
      <c r="H548" s="6"/>
      <c r="I548" s="6"/>
      <c r="J548" s="6"/>
      <c r="K548" s="6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4"/>
      <c r="C549" s="4"/>
      <c r="D549" s="4"/>
      <c r="E549" s="4"/>
      <c r="F549" s="4"/>
      <c r="G549" s="4"/>
      <c r="H549" s="6"/>
      <c r="I549" s="6"/>
      <c r="J549" s="6"/>
      <c r="K549" s="6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4"/>
      <c r="C550" s="4"/>
      <c r="D550" s="4"/>
      <c r="E550" s="4"/>
      <c r="F550" s="4"/>
      <c r="G550" s="4"/>
      <c r="H550" s="6"/>
      <c r="I550" s="6"/>
      <c r="J550" s="6"/>
      <c r="K550" s="6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4"/>
      <c r="C551" s="4"/>
      <c r="D551" s="4"/>
      <c r="E551" s="4"/>
      <c r="F551" s="4"/>
      <c r="G551" s="4"/>
      <c r="H551" s="6"/>
      <c r="I551" s="6"/>
      <c r="J551" s="6"/>
      <c r="K551" s="6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4"/>
      <c r="C552" s="4"/>
      <c r="D552" s="4"/>
      <c r="E552" s="4"/>
      <c r="F552" s="4"/>
      <c r="G552" s="4"/>
      <c r="H552" s="6"/>
      <c r="I552" s="6"/>
      <c r="J552" s="6"/>
      <c r="K552" s="6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4"/>
      <c r="C553" s="4"/>
      <c r="D553" s="4"/>
      <c r="E553" s="4"/>
      <c r="F553" s="4"/>
      <c r="G553" s="4"/>
      <c r="H553" s="6"/>
      <c r="I553" s="6"/>
      <c r="J553" s="6"/>
      <c r="K553" s="6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4"/>
      <c r="C554" s="4"/>
      <c r="D554" s="4"/>
      <c r="E554" s="4"/>
      <c r="F554" s="4"/>
      <c r="G554" s="4"/>
      <c r="H554" s="6"/>
      <c r="I554" s="6"/>
      <c r="J554" s="6"/>
      <c r="K554" s="6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4"/>
      <c r="C555" s="4"/>
      <c r="D555" s="4"/>
      <c r="E555" s="4"/>
      <c r="F555" s="4"/>
      <c r="G555" s="4"/>
      <c r="H555" s="6"/>
      <c r="I555" s="6"/>
      <c r="J555" s="6"/>
      <c r="K555" s="6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4"/>
      <c r="C556" s="4"/>
      <c r="D556" s="4"/>
      <c r="E556" s="4"/>
      <c r="F556" s="4"/>
      <c r="G556" s="4"/>
      <c r="H556" s="6"/>
      <c r="I556" s="6"/>
      <c r="J556" s="6"/>
      <c r="K556" s="6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4"/>
      <c r="C557" s="4"/>
      <c r="D557" s="4"/>
      <c r="E557" s="4"/>
      <c r="F557" s="4"/>
      <c r="G557" s="4"/>
      <c r="H557" s="6"/>
      <c r="I557" s="6"/>
      <c r="J557" s="6"/>
      <c r="K557" s="6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4"/>
      <c r="C558" s="4"/>
      <c r="D558" s="4"/>
      <c r="E558" s="4"/>
      <c r="F558" s="4"/>
      <c r="G558" s="4"/>
      <c r="H558" s="6"/>
      <c r="I558" s="6"/>
      <c r="J558" s="6"/>
      <c r="K558" s="6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4"/>
      <c r="C559" s="4"/>
      <c r="D559" s="4"/>
      <c r="E559" s="4"/>
      <c r="F559" s="4"/>
      <c r="G559" s="4"/>
      <c r="H559" s="6"/>
      <c r="I559" s="6"/>
      <c r="J559" s="6"/>
      <c r="K559" s="6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4"/>
      <c r="C560" s="4"/>
      <c r="D560" s="4"/>
      <c r="E560" s="4"/>
      <c r="F560" s="4"/>
      <c r="G560" s="4"/>
      <c r="H560" s="6"/>
      <c r="I560" s="6"/>
      <c r="J560" s="6"/>
      <c r="K560" s="6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4"/>
      <c r="C561" s="4"/>
      <c r="D561" s="4"/>
      <c r="E561" s="4"/>
      <c r="F561" s="4"/>
      <c r="G561" s="4"/>
      <c r="H561" s="6"/>
      <c r="I561" s="6"/>
      <c r="J561" s="6"/>
      <c r="K561" s="6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4"/>
      <c r="C562" s="4"/>
      <c r="D562" s="4"/>
      <c r="E562" s="4"/>
      <c r="F562" s="4"/>
      <c r="G562" s="4"/>
      <c r="H562" s="6"/>
      <c r="I562" s="6"/>
      <c r="J562" s="6"/>
      <c r="K562" s="6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4"/>
      <c r="C563" s="4"/>
      <c r="D563" s="4"/>
      <c r="E563" s="4"/>
      <c r="F563" s="4"/>
      <c r="G563" s="4"/>
      <c r="H563" s="6"/>
      <c r="I563" s="6"/>
      <c r="J563" s="6"/>
      <c r="K563" s="6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4"/>
      <c r="C564" s="4"/>
      <c r="D564" s="4"/>
      <c r="E564" s="4"/>
      <c r="F564" s="4"/>
      <c r="G564" s="4"/>
      <c r="H564" s="6"/>
      <c r="I564" s="6"/>
      <c r="J564" s="6"/>
      <c r="K564" s="6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4"/>
      <c r="C565" s="4"/>
      <c r="D565" s="4"/>
      <c r="E565" s="4"/>
      <c r="F565" s="4"/>
      <c r="G565" s="4"/>
      <c r="H565" s="6"/>
      <c r="I565" s="6"/>
      <c r="J565" s="6"/>
      <c r="K565" s="6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4"/>
      <c r="C566" s="4"/>
      <c r="D566" s="4"/>
      <c r="E566" s="4"/>
      <c r="F566" s="4"/>
      <c r="G566" s="4"/>
      <c r="H566" s="6"/>
      <c r="I566" s="6"/>
      <c r="J566" s="6"/>
      <c r="K566" s="6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4"/>
      <c r="C567" s="4"/>
      <c r="D567" s="4"/>
      <c r="E567" s="4"/>
      <c r="F567" s="4"/>
      <c r="G567" s="4"/>
      <c r="H567" s="6"/>
      <c r="I567" s="6"/>
      <c r="J567" s="6"/>
      <c r="K567" s="6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4"/>
      <c r="C568" s="4"/>
      <c r="D568" s="4"/>
      <c r="E568" s="4"/>
      <c r="F568" s="4"/>
      <c r="G568" s="4"/>
      <c r="H568" s="6"/>
      <c r="I568" s="6"/>
      <c r="J568" s="6"/>
      <c r="K568" s="6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4"/>
      <c r="C569" s="4"/>
      <c r="D569" s="4"/>
      <c r="E569" s="4"/>
      <c r="F569" s="4"/>
      <c r="G569" s="4"/>
      <c r="H569" s="6"/>
      <c r="I569" s="6"/>
      <c r="J569" s="6"/>
      <c r="K569" s="6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4"/>
      <c r="C570" s="4"/>
      <c r="D570" s="4"/>
      <c r="E570" s="4"/>
      <c r="F570" s="4"/>
      <c r="G570" s="4"/>
      <c r="H570" s="6"/>
      <c r="I570" s="6"/>
      <c r="J570" s="6"/>
      <c r="K570" s="6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4"/>
      <c r="C571" s="4"/>
      <c r="D571" s="4"/>
      <c r="E571" s="4"/>
      <c r="F571" s="4"/>
      <c r="G571" s="4"/>
      <c r="H571" s="6"/>
      <c r="I571" s="6"/>
      <c r="J571" s="6"/>
      <c r="K571" s="6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4"/>
      <c r="C572" s="4"/>
      <c r="D572" s="4"/>
      <c r="E572" s="4"/>
      <c r="F572" s="4"/>
      <c r="G572" s="4"/>
      <c r="H572" s="6"/>
      <c r="I572" s="6"/>
      <c r="J572" s="6"/>
      <c r="K572" s="6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4"/>
      <c r="C573" s="4"/>
      <c r="D573" s="4"/>
      <c r="E573" s="4"/>
      <c r="F573" s="4"/>
      <c r="G573" s="4"/>
      <c r="H573" s="6"/>
      <c r="I573" s="6"/>
      <c r="J573" s="6"/>
      <c r="K573" s="6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4"/>
      <c r="C574" s="4"/>
      <c r="D574" s="4"/>
      <c r="E574" s="4"/>
      <c r="F574" s="4"/>
      <c r="G574" s="4"/>
      <c r="H574" s="6"/>
      <c r="I574" s="6"/>
      <c r="J574" s="6"/>
      <c r="K574" s="6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4"/>
      <c r="C575" s="4"/>
      <c r="D575" s="4"/>
      <c r="E575" s="4"/>
      <c r="F575" s="4"/>
      <c r="G575" s="4"/>
      <c r="H575" s="6"/>
      <c r="I575" s="6"/>
      <c r="J575" s="6"/>
      <c r="K575" s="6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4"/>
      <c r="C576" s="4"/>
      <c r="D576" s="4"/>
      <c r="E576" s="4"/>
      <c r="F576" s="4"/>
      <c r="G576" s="4"/>
      <c r="H576" s="6"/>
      <c r="I576" s="6"/>
      <c r="J576" s="6"/>
      <c r="K576" s="6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4"/>
      <c r="C577" s="4"/>
      <c r="D577" s="4"/>
      <c r="E577" s="4"/>
      <c r="F577" s="4"/>
      <c r="G577" s="4"/>
      <c r="H577" s="6"/>
      <c r="I577" s="6"/>
      <c r="J577" s="6"/>
      <c r="K577" s="6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4"/>
      <c r="C578" s="4"/>
      <c r="D578" s="4"/>
      <c r="E578" s="4"/>
      <c r="F578" s="4"/>
      <c r="G578" s="4"/>
      <c r="H578" s="6"/>
      <c r="I578" s="6"/>
      <c r="J578" s="6"/>
      <c r="K578" s="6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4"/>
      <c r="C579" s="4"/>
      <c r="D579" s="4"/>
      <c r="E579" s="4"/>
      <c r="F579" s="4"/>
      <c r="G579" s="4"/>
      <c r="H579" s="6"/>
      <c r="I579" s="6"/>
      <c r="J579" s="6"/>
      <c r="K579" s="6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4"/>
      <c r="C580" s="4"/>
      <c r="D580" s="4"/>
      <c r="E580" s="4"/>
      <c r="F580" s="4"/>
      <c r="G580" s="4"/>
      <c r="H580" s="6"/>
      <c r="I580" s="6"/>
      <c r="J580" s="6"/>
      <c r="K580" s="6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4"/>
      <c r="C581" s="4"/>
      <c r="D581" s="4"/>
      <c r="E581" s="4"/>
      <c r="F581" s="4"/>
      <c r="G581" s="4"/>
      <c r="H581" s="6"/>
      <c r="I581" s="6"/>
      <c r="J581" s="6"/>
      <c r="K581" s="6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4"/>
      <c r="C582" s="4"/>
      <c r="D582" s="4"/>
      <c r="E582" s="4"/>
      <c r="F582" s="4"/>
      <c r="G582" s="4"/>
      <c r="H582" s="6"/>
      <c r="I582" s="6"/>
      <c r="J582" s="6"/>
      <c r="K582" s="6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4"/>
      <c r="C583" s="4"/>
      <c r="D583" s="4"/>
      <c r="E583" s="4"/>
      <c r="F583" s="4"/>
      <c r="G583" s="4"/>
      <c r="H583" s="6"/>
      <c r="I583" s="6"/>
      <c r="J583" s="6"/>
      <c r="K583" s="6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4"/>
      <c r="C584" s="4"/>
      <c r="D584" s="4"/>
      <c r="E584" s="4"/>
      <c r="F584" s="4"/>
      <c r="G584" s="4"/>
      <c r="H584" s="6"/>
      <c r="I584" s="6"/>
      <c r="J584" s="6"/>
      <c r="K584" s="6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4"/>
      <c r="C585" s="4"/>
      <c r="D585" s="4"/>
      <c r="E585" s="4"/>
      <c r="F585" s="4"/>
      <c r="G585" s="4"/>
      <c r="H585" s="6"/>
      <c r="I585" s="6"/>
      <c r="J585" s="6"/>
      <c r="K585" s="6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4"/>
      <c r="C586" s="4"/>
      <c r="D586" s="4"/>
      <c r="E586" s="4"/>
      <c r="F586" s="4"/>
      <c r="G586" s="4"/>
      <c r="H586" s="6"/>
      <c r="I586" s="6"/>
      <c r="J586" s="6"/>
      <c r="K586" s="6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4"/>
      <c r="C587" s="4"/>
      <c r="D587" s="4"/>
      <c r="E587" s="4"/>
      <c r="F587" s="4"/>
      <c r="G587" s="4"/>
      <c r="H587" s="6"/>
      <c r="I587" s="6"/>
      <c r="J587" s="6"/>
      <c r="K587" s="6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4"/>
      <c r="C588" s="4"/>
      <c r="D588" s="4"/>
      <c r="E588" s="4"/>
      <c r="F588" s="4"/>
      <c r="G588" s="4"/>
      <c r="H588" s="6"/>
      <c r="I588" s="6"/>
      <c r="J588" s="6"/>
      <c r="K588" s="6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4"/>
      <c r="C589" s="4"/>
      <c r="D589" s="4"/>
      <c r="E589" s="4"/>
      <c r="F589" s="4"/>
      <c r="G589" s="4"/>
      <c r="H589" s="6"/>
      <c r="I589" s="6"/>
      <c r="J589" s="6"/>
      <c r="K589" s="6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4"/>
      <c r="C590" s="4"/>
      <c r="D590" s="4"/>
      <c r="E590" s="4"/>
      <c r="F590" s="4"/>
      <c r="G590" s="4"/>
      <c r="H590" s="6"/>
      <c r="I590" s="6"/>
      <c r="J590" s="6"/>
      <c r="K590" s="6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4"/>
      <c r="C591" s="4"/>
      <c r="D591" s="4"/>
      <c r="E591" s="4"/>
      <c r="F591" s="4"/>
      <c r="G591" s="4"/>
      <c r="H591" s="6"/>
      <c r="I591" s="6"/>
      <c r="J591" s="6"/>
      <c r="K591" s="6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4"/>
      <c r="C592" s="4"/>
      <c r="D592" s="4"/>
      <c r="E592" s="4"/>
      <c r="F592" s="4"/>
      <c r="G592" s="4"/>
      <c r="H592" s="6"/>
      <c r="I592" s="6"/>
      <c r="J592" s="6"/>
      <c r="K592" s="6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4"/>
      <c r="C593" s="4"/>
      <c r="D593" s="4"/>
      <c r="E593" s="4"/>
      <c r="F593" s="4"/>
      <c r="G593" s="4"/>
      <c r="H593" s="6"/>
      <c r="I593" s="6"/>
      <c r="J593" s="6"/>
      <c r="K593" s="6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4"/>
      <c r="C594" s="4"/>
      <c r="D594" s="4"/>
      <c r="E594" s="4"/>
      <c r="F594" s="4"/>
      <c r="G594" s="4"/>
      <c r="H594" s="6"/>
      <c r="I594" s="6"/>
      <c r="J594" s="6"/>
      <c r="K594" s="6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4"/>
      <c r="C595" s="4"/>
      <c r="D595" s="4"/>
      <c r="E595" s="4"/>
      <c r="F595" s="4"/>
      <c r="G595" s="4"/>
      <c r="H595" s="6"/>
      <c r="I595" s="6"/>
      <c r="J595" s="6"/>
      <c r="K595" s="6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4"/>
      <c r="C596" s="4"/>
      <c r="D596" s="4"/>
      <c r="E596" s="4"/>
      <c r="F596" s="4"/>
      <c r="G596" s="4"/>
      <c r="H596" s="6"/>
      <c r="I596" s="6"/>
      <c r="J596" s="6"/>
      <c r="K596" s="6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4"/>
      <c r="C597" s="4"/>
      <c r="D597" s="4"/>
      <c r="E597" s="4"/>
      <c r="F597" s="4"/>
      <c r="G597" s="4"/>
      <c r="H597" s="6"/>
      <c r="I597" s="6"/>
      <c r="J597" s="6"/>
      <c r="K597" s="6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4"/>
      <c r="C598" s="4"/>
      <c r="D598" s="4"/>
      <c r="E598" s="4"/>
      <c r="F598" s="4"/>
      <c r="G598" s="4"/>
      <c r="H598" s="6"/>
      <c r="I598" s="6"/>
      <c r="J598" s="6"/>
      <c r="K598" s="6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4"/>
      <c r="C599" s="4"/>
      <c r="D599" s="4"/>
      <c r="E599" s="4"/>
      <c r="F599" s="4"/>
      <c r="G599" s="4"/>
      <c r="H599" s="6"/>
      <c r="I599" s="6"/>
      <c r="J599" s="6"/>
      <c r="K599" s="6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4"/>
      <c r="C600" s="4"/>
      <c r="D600" s="4"/>
      <c r="E600" s="4"/>
      <c r="F600" s="4"/>
      <c r="G600" s="4"/>
      <c r="H600" s="6"/>
      <c r="I600" s="6"/>
      <c r="J600" s="6"/>
      <c r="K600" s="6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4"/>
      <c r="C601" s="4"/>
      <c r="D601" s="4"/>
      <c r="E601" s="4"/>
      <c r="F601" s="4"/>
      <c r="G601" s="4"/>
      <c r="H601" s="6"/>
      <c r="I601" s="6"/>
      <c r="J601" s="6"/>
      <c r="K601" s="6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4"/>
      <c r="C602" s="4"/>
      <c r="D602" s="4"/>
      <c r="E602" s="4"/>
      <c r="F602" s="4"/>
      <c r="G602" s="4"/>
      <c r="H602" s="6"/>
      <c r="I602" s="6"/>
      <c r="J602" s="6"/>
      <c r="K602" s="6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4"/>
      <c r="C603" s="4"/>
      <c r="D603" s="4"/>
      <c r="E603" s="4"/>
      <c r="F603" s="4"/>
      <c r="G603" s="4"/>
      <c r="H603" s="6"/>
      <c r="I603" s="6"/>
      <c r="J603" s="6"/>
      <c r="K603" s="6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4"/>
      <c r="C604" s="4"/>
      <c r="D604" s="4"/>
      <c r="E604" s="4"/>
      <c r="F604" s="4"/>
      <c r="G604" s="4"/>
      <c r="H604" s="6"/>
      <c r="I604" s="6"/>
      <c r="J604" s="6"/>
      <c r="K604" s="6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4"/>
      <c r="C605" s="4"/>
      <c r="D605" s="4"/>
      <c r="E605" s="4"/>
      <c r="F605" s="4"/>
      <c r="G605" s="4"/>
      <c r="H605" s="6"/>
      <c r="I605" s="6"/>
      <c r="J605" s="6"/>
      <c r="K605" s="6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4"/>
      <c r="C606" s="4"/>
      <c r="D606" s="4"/>
      <c r="E606" s="4"/>
      <c r="F606" s="4"/>
      <c r="G606" s="4"/>
      <c r="H606" s="6"/>
      <c r="I606" s="6"/>
      <c r="J606" s="6"/>
      <c r="K606" s="6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4"/>
      <c r="C607" s="4"/>
      <c r="D607" s="4"/>
      <c r="E607" s="4"/>
      <c r="F607" s="4"/>
      <c r="G607" s="4"/>
      <c r="H607" s="6"/>
      <c r="I607" s="6"/>
      <c r="J607" s="6"/>
      <c r="K607" s="6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4"/>
      <c r="C608" s="4"/>
      <c r="D608" s="4"/>
      <c r="E608" s="4"/>
      <c r="F608" s="4"/>
      <c r="G608" s="4"/>
      <c r="H608" s="6"/>
      <c r="I608" s="6"/>
      <c r="J608" s="6"/>
      <c r="K608" s="6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4"/>
      <c r="C609" s="4"/>
      <c r="D609" s="4"/>
      <c r="E609" s="4"/>
      <c r="F609" s="4"/>
      <c r="G609" s="4"/>
      <c r="H609" s="6"/>
      <c r="I609" s="6"/>
      <c r="J609" s="6"/>
      <c r="K609" s="6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4"/>
      <c r="C610" s="4"/>
      <c r="D610" s="4"/>
      <c r="E610" s="4"/>
      <c r="F610" s="4"/>
      <c r="G610" s="4"/>
      <c r="H610" s="6"/>
      <c r="I610" s="6"/>
      <c r="J610" s="6"/>
      <c r="K610" s="6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4"/>
      <c r="C611" s="4"/>
      <c r="D611" s="4"/>
      <c r="E611" s="4"/>
      <c r="F611" s="4"/>
      <c r="G611" s="4"/>
      <c r="H611" s="6"/>
      <c r="I611" s="6"/>
      <c r="J611" s="6"/>
      <c r="K611" s="6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4"/>
      <c r="C612" s="4"/>
      <c r="D612" s="4"/>
      <c r="E612" s="4"/>
      <c r="F612" s="4"/>
      <c r="G612" s="4"/>
      <c r="H612" s="6"/>
      <c r="I612" s="6"/>
      <c r="J612" s="6"/>
      <c r="K612" s="6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4"/>
      <c r="C613" s="4"/>
      <c r="D613" s="4"/>
      <c r="E613" s="4"/>
      <c r="F613" s="4"/>
      <c r="G613" s="4"/>
      <c r="H613" s="6"/>
      <c r="I613" s="6"/>
      <c r="J613" s="6"/>
      <c r="K613" s="6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4"/>
      <c r="C614" s="4"/>
      <c r="D614" s="4"/>
      <c r="E614" s="4"/>
      <c r="F614" s="4"/>
      <c r="G614" s="4"/>
      <c r="H614" s="6"/>
      <c r="I614" s="6"/>
      <c r="J614" s="6"/>
      <c r="K614" s="6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4"/>
      <c r="C615" s="4"/>
      <c r="D615" s="4"/>
      <c r="E615" s="4"/>
      <c r="F615" s="4"/>
      <c r="G615" s="4"/>
      <c r="H615" s="6"/>
      <c r="I615" s="6"/>
      <c r="J615" s="6"/>
      <c r="K615" s="6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4"/>
      <c r="C616" s="4"/>
      <c r="D616" s="4"/>
      <c r="E616" s="4"/>
      <c r="F616" s="4"/>
      <c r="G616" s="4"/>
      <c r="H616" s="6"/>
      <c r="I616" s="6"/>
      <c r="J616" s="6"/>
      <c r="K616" s="6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4"/>
      <c r="C617" s="4"/>
      <c r="D617" s="4"/>
      <c r="E617" s="4"/>
      <c r="F617" s="4"/>
      <c r="G617" s="4"/>
      <c r="H617" s="6"/>
      <c r="I617" s="6"/>
      <c r="J617" s="6"/>
      <c r="K617" s="6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4"/>
      <c r="C618" s="4"/>
      <c r="D618" s="4"/>
      <c r="E618" s="4"/>
      <c r="F618" s="4"/>
      <c r="G618" s="4"/>
      <c r="H618" s="6"/>
      <c r="I618" s="6"/>
      <c r="J618" s="6"/>
      <c r="K618" s="6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4"/>
      <c r="C619" s="4"/>
      <c r="D619" s="4"/>
      <c r="E619" s="4"/>
      <c r="F619" s="4"/>
      <c r="G619" s="4"/>
      <c r="H619" s="6"/>
      <c r="I619" s="6"/>
      <c r="J619" s="6"/>
      <c r="K619" s="6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4"/>
      <c r="C620" s="4"/>
      <c r="D620" s="4"/>
      <c r="E620" s="4"/>
      <c r="F620" s="4"/>
      <c r="G620" s="4"/>
      <c r="H620" s="6"/>
      <c r="I620" s="6"/>
      <c r="J620" s="6"/>
      <c r="K620" s="6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4"/>
      <c r="C621" s="4"/>
      <c r="D621" s="4"/>
      <c r="E621" s="4"/>
      <c r="F621" s="4"/>
      <c r="G621" s="4"/>
      <c r="H621" s="6"/>
      <c r="I621" s="6"/>
      <c r="J621" s="6"/>
      <c r="K621" s="6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4"/>
      <c r="C622" s="4"/>
      <c r="D622" s="4"/>
      <c r="E622" s="4"/>
      <c r="F622" s="4"/>
      <c r="G622" s="4"/>
      <c r="H622" s="6"/>
      <c r="I622" s="6"/>
      <c r="J622" s="6"/>
      <c r="K622" s="6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4"/>
      <c r="C623" s="4"/>
      <c r="D623" s="4"/>
      <c r="E623" s="4"/>
      <c r="F623" s="4"/>
      <c r="G623" s="4"/>
      <c r="H623" s="6"/>
      <c r="I623" s="6"/>
      <c r="J623" s="6"/>
      <c r="K623" s="6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4"/>
      <c r="C624" s="4"/>
      <c r="D624" s="4"/>
      <c r="E624" s="4"/>
      <c r="F624" s="4"/>
      <c r="G624" s="4"/>
      <c r="H624" s="6"/>
      <c r="I624" s="6"/>
      <c r="J624" s="6"/>
      <c r="K624" s="6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4"/>
      <c r="C625" s="4"/>
      <c r="D625" s="4"/>
      <c r="E625" s="4"/>
      <c r="F625" s="4"/>
      <c r="G625" s="4"/>
      <c r="H625" s="6"/>
      <c r="I625" s="6"/>
      <c r="J625" s="6"/>
      <c r="K625" s="6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4"/>
      <c r="C626" s="4"/>
      <c r="D626" s="4"/>
      <c r="E626" s="4"/>
      <c r="F626" s="4"/>
      <c r="G626" s="4"/>
      <c r="H626" s="6"/>
      <c r="I626" s="6"/>
      <c r="J626" s="6"/>
      <c r="K626" s="6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4"/>
      <c r="C627" s="4"/>
      <c r="D627" s="4"/>
      <c r="E627" s="4"/>
      <c r="F627" s="4"/>
      <c r="G627" s="4"/>
      <c r="H627" s="6"/>
      <c r="I627" s="6"/>
      <c r="J627" s="6"/>
      <c r="K627" s="6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4"/>
      <c r="C628" s="4"/>
      <c r="D628" s="4"/>
      <c r="E628" s="4"/>
      <c r="F628" s="4"/>
      <c r="G628" s="4"/>
      <c r="H628" s="6"/>
      <c r="I628" s="6"/>
      <c r="J628" s="6"/>
      <c r="K628" s="6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4"/>
      <c r="C629" s="4"/>
      <c r="D629" s="4"/>
      <c r="E629" s="4"/>
      <c r="F629" s="4"/>
      <c r="G629" s="4"/>
      <c r="H629" s="6"/>
      <c r="I629" s="6"/>
      <c r="J629" s="6"/>
      <c r="K629" s="6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4"/>
      <c r="C630" s="4"/>
      <c r="D630" s="4"/>
      <c r="E630" s="4"/>
      <c r="F630" s="4"/>
      <c r="G630" s="4"/>
      <c r="H630" s="6"/>
      <c r="I630" s="6"/>
      <c r="J630" s="6"/>
      <c r="K630" s="6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4"/>
      <c r="C631" s="4"/>
      <c r="D631" s="4"/>
      <c r="E631" s="4"/>
      <c r="F631" s="4"/>
      <c r="G631" s="4"/>
      <c r="H631" s="6"/>
      <c r="I631" s="6"/>
      <c r="J631" s="6"/>
      <c r="K631" s="6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4"/>
      <c r="C632" s="4"/>
      <c r="D632" s="4"/>
      <c r="E632" s="4"/>
      <c r="F632" s="4"/>
      <c r="G632" s="4"/>
      <c r="H632" s="6"/>
      <c r="I632" s="6"/>
      <c r="J632" s="6"/>
      <c r="K632" s="6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4"/>
      <c r="C633" s="4"/>
      <c r="D633" s="4"/>
      <c r="E633" s="4"/>
      <c r="F633" s="4"/>
      <c r="G633" s="4"/>
      <c r="H633" s="6"/>
      <c r="I633" s="6"/>
      <c r="J633" s="6"/>
      <c r="K633" s="6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4"/>
      <c r="C634" s="4"/>
      <c r="D634" s="4"/>
      <c r="E634" s="4"/>
      <c r="F634" s="4"/>
      <c r="G634" s="4"/>
      <c r="H634" s="6"/>
      <c r="I634" s="6"/>
      <c r="J634" s="6"/>
      <c r="K634" s="6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4"/>
      <c r="C635" s="4"/>
      <c r="D635" s="4"/>
      <c r="E635" s="4"/>
      <c r="F635" s="4"/>
      <c r="G635" s="4"/>
      <c r="H635" s="6"/>
      <c r="I635" s="6"/>
      <c r="J635" s="6"/>
      <c r="K635" s="6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4"/>
      <c r="C636" s="4"/>
      <c r="D636" s="4"/>
      <c r="E636" s="4"/>
      <c r="F636" s="4"/>
      <c r="G636" s="4"/>
      <c r="H636" s="6"/>
      <c r="I636" s="6"/>
      <c r="J636" s="6"/>
      <c r="K636" s="6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4"/>
      <c r="C637" s="4"/>
      <c r="D637" s="4"/>
      <c r="E637" s="4"/>
      <c r="F637" s="4"/>
      <c r="G637" s="4"/>
      <c r="H637" s="6"/>
      <c r="I637" s="6"/>
      <c r="J637" s="6"/>
      <c r="K637" s="6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4"/>
      <c r="C638" s="4"/>
      <c r="D638" s="4"/>
      <c r="E638" s="4"/>
      <c r="F638" s="4"/>
      <c r="G638" s="4"/>
      <c r="H638" s="6"/>
      <c r="I638" s="6"/>
      <c r="J638" s="6"/>
      <c r="K638" s="6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4"/>
      <c r="C639" s="4"/>
      <c r="D639" s="4"/>
      <c r="E639" s="4"/>
      <c r="F639" s="4"/>
      <c r="G639" s="4"/>
      <c r="H639" s="6"/>
      <c r="I639" s="6"/>
      <c r="J639" s="6"/>
      <c r="K639" s="6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4"/>
      <c r="C640" s="4"/>
      <c r="D640" s="4"/>
      <c r="E640" s="4"/>
      <c r="F640" s="4"/>
      <c r="G640" s="4"/>
      <c r="H640" s="6"/>
      <c r="I640" s="6"/>
      <c r="J640" s="6"/>
      <c r="K640" s="6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4"/>
      <c r="C641" s="4"/>
      <c r="D641" s="4"/>
      <c r="E641" s="4"/>
      <c r="F641" s="4"/>
      <c r="G641" s="4"/>
      <c r="H641" s="6"/>
      <c r="I641" s="6"/>
      <c r="J641" s="6"/>
      <c r="K641" s="6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4"/>
      <c r="C642" s="4"/>
      <c r="D642" s="4"/>
      <c r="E642" s="4"/>
      <c r="F642" s="4"/>
      <c r="G642" s="4"/>
      <c r="H642" s="6"/>
      <c r="I642" s="6"/>
      <c r="J642" s="6"/>
      <c r="K642" s="6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4"/>
      <c r="C643" s="4"/>
      <c r="D643" s="4"/>
      <c r="E643" s="4"/>
      <c r="F643" s="4"/>
      <c r="G643" s="4"/>
      <c r="H643" s="6"/>
      <c r="I643" s="6"/>
      <c r="J643" s="6"/>
      <c r="K643" s="6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4"/>
      <c r="C644" s="4"/>
      <c r="D644" s="4"/>
      <c r="E644" s="4"/>
      <c r="F644" s="4"/>
      <c r="G644" s="4"/>
      <c r="H644" s="6"/>
      <c r="I644" s="6"/>
      <c r="J644" s="6"/>
      <c r="K644" s="6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4"/>
      <c r="C645" s="4"/>
      <c r="D645" s="4"/>
      <c r="E645" s="4"/>
      <c r="F645" s="4"/>
      <c r="G645" s="4"/>
      <c r="H645" s="6"/>
      <c r="I645" s="6"/>
      <c r="J645" s="6"/>
      <c r="K645" s="6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4"/>
      <c r="C646" s="4"/>
      <c r="D646" s="4"/>
      <c r="E646" s="4"/>
      <c r="F646" s="4"/>
      <c r="G646" s="4"/>
      <c r="H646" s="6"/>
      <c r="I646" s="6"/>
      <c r="J646" s="6"/>
      <c r="K646" s="6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4"/>
      <c r="C647" s="4"/>
      <c r="D647" s="4"/>
      <c r="E647" s="4"/>
      <c r="F647" s="4"/>
      <c r="G647" s="4"/>
      <c r="H647" s="6"/>
      <c r="I647" s="6"/>
      <c r="J647" s="6"/>
      <c r="K647" s="6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4"/>
      <c r="C648" s="4"/>
      <c r="D648" s="4"/>
      <c r="E648" s="4"/>
      <c r="F648" s="4"/>
      <c r="G648" s="4"/>
      <c r="H648" s="6"/>
      <c r="I648" s="6"/>
      <c r="J648" s="6"/>
      <c r="K648" s="6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4"/>
      <c r="C649" s="4"/>
      <c r="D649" s="4"/>
      <c r="E649" s="4"/>
      <c r="F649" s="4"/>
      <c r="G649" s="4"/>
      <c r="H649" s="6"/>
      <c r="I649" s="6"/>
      <c r="J649" s="6"/>
      <c r="K649" s="6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4"/>
      <c r="C650" s="4"/>
      <c r="D650" s="4"/>
      <c r="E650" s="4"/>
      <c r="F650" s="4"/>
      <c r="G650" s="4"/>
      <c r="H650" s="6"/>
      <c r="I650" s="6"/>
      <c r="J650" s="6"/>
      <c r="K650" s="6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4"/>
      <c r="C651" s="4"/>
      <c r="D651" s="4"/>
      <c r="E651" s="4"/>
      <c r="F651" s="4"/>
      <c r="G651" s="4"/>
      <c r="H651" s="6"/>
      <c r="I651" s="6"/>
      <c r="J651" s="6"/>
      <c r="K651" s="6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4"/>
      <c r="C652" s="4"/>
      <c r="D652" s="4"/>
      <c r="E652" s="4"/>
      <c r="F652" s="4"/>
      <c r="G652" s="4"/>
      <c r="H652" s="6"/>
      <c r="I652" s="6"/>
      <c r="J652" s="6"/>
      <c r="K652" s="6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4"/>
      <c r="C653" s="4"/>
      <c r="D653" s="4"/>
      <c r="E653" s="4"/>
      <c r="F653" s="4"/>
      <c r="G653" s="4"/>
      <c r="H653" s="6"/>
      <c r="I653" s="6"/>
      <c r="J653" s="6"/>
      <c r="K653" s="6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4"/>
      <c r="C654" s="4"/>
      <c r="D654" s="4"/>
      <c r="E654" s="4"/>
      <c r="F654" s="4"/>
      <c r="G654" s="4"/>
      <c r="H654" s="6"/>
      <c r="I654" s="6"/>
      <c r="J654" s="6"/>
      <c r="K654" s="6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4"/>
      <c r="C655" s="4"/>
      <c r="D655" s="4"/>
      <c r="E655" s="4"/>
      <c r="F655" s="4"/>
      <c r="G655" s="4"/>
      <c r="H655" s="6"/>
      <c r="I655" s="6"/>
      <c r="J655" s="6"/>
      <c r="K655" s="6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4"/>
      <c r="C656" s="4"/>
      <c r="D656" s="4"/>
      <c r="E656" s="4"/>
      <c r="F656" s="4"/>
      <c r="G656" s="4"/>
      <c r="H656" s="6"/>
      <c r="I656" s="6"/>
      <c r="J656" s="6"/>
      <c r="K656" s="6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4"/>
      <c r="C657" s="4"/>
      <c r="D657" s="4"/>
      <c r="E657" s="4"/>
      <c r="F657" s="4"/>
      <c r="G657" s="4"/>
      <c r="H657" s="6"/>
      <c r="I657" s="6"/>
      <c r="J657" s="6"/>
      <c r="K657" s="6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4"/>
      <c r="C658" s="4"/>
      <c r="D658" s="4"/>
      <c r="E658" s="4"/>
      <c r="F658" s="4"/>
      <c r="G658" s="4"/>
      <c r="H658" s="6"/>
      <c r="I658" s="6"/>
      <c r="J658" s="6"/>
      <c r="K658" s="6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4"/>
      <c r="C659" s="4"/>
      <c r="D659" s="4"/>
      <c r="E659" s="4"/>
      <c r="F659" s="4"/>
      <c r="G659" s="4"/>
      <c r="H659" s="6"/>
      <c r="I659" s="6"/>
      <c r="J659" s="6"/>
      <c r="K659" s="6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4"/>
      <c r="C660" s="4"/>
      <c r="D660" s="4"/>
      <c r="E660" s="4"/>
      <c r="F660" s="4"/>
      <c r="G660" s="4"/>
      <c r="H660" s="6"/>
      <c r="I660" s="6"/>
      <c r="J660" s="6"/>
      <c r="K660" s="6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4"/>
      <c r="C661" s="4"/>
      <c r="D661" s="4"/>
      <c r="E661" s="4"/>
      <c r="F661" s="4"/>
      <c r="G661" s="4"/>
      <c r="H661" s="6"/>
      <c r="I661" s="6"/>
      <c r="J661" s="6"/>
      <c r="K661" s="6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4"/>
      <c r="C662" s="4"/>
      <c r="D662" s="4"/>
      <c r="E662" s="4"/>
      <c r="F662" s="4"/>
      <c r="G662" s="4"/>
      <c r="H662" s="6"/>
      <c r="I662" s="6"/>
      <c r="J662" s="6"/>
      <c r="K662" s="6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4"/>
      <c r="C663" s="4"/>
      <c r="D663" s="4"/>
      <c r="E663" s="4"/>
      <c r="F663" s="4"/>
      <c r="G663" s="4"/>
      <c r="H663" s="6"/>
      <c r="I663" s="6"/>
      <c r="J663" s="6"/>
      <c r="K663" s="6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4"/>
      <c r="C664" s="4"/>
      <c r="D664" s="4"/>
      <c r="E664" s="4"/>
      <c r="F664" s="4"/>
      <c r="G664" s="4"/>
      <c r="H664" s="6"/>
      <c r="I664" s="6"/>
      <c r="J664" s="6"/>
      <c r="K664" s="6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4"/>
      <c r="C665" s="4"/>
      <c r="D665" s="4"/>
      <c r="E665" s="4"/>
      <c r="F665" s="4"/>
      <c r="G665" s="4"/>
      <c r="H665" s="6"/>
      <c r="I665" s="6"/>
      <c r="J665" s="6"/>
      <c r="K665" s="6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4"/>
      <c r="C666" s="4"/>
      <c r="D666" s="4"/>
      <c r="E666" s="4"/>
      <c r="F666" s="4"/>
      <c r="G666" s="4"/>
      <c r="H666" s="6"/>
      <c r="I666" s="6"/>
      <c r="J666" s="6"/>
      <c r="K666" s="6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4"/>
      <c r="C667" s="4"/>
      <c r="D667" s="4"/>
      <c r="E667" s="4"/>
      <c r="F667" s="4"/>
      <c r="G667" s="4"/>
      <c r="H667" s="6"/>
      <c r="I667" s="6"/>
      <c r="J667" s="6"/>
      <c r="K667" s="6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4"/>
      <c r="C668" s="4"/>
      <c r="D668" s="4"/>
      <c r="E668" s="4"/>
      <c r="F668" s="4"/>
      <c r="G668" s="4"/>
      <c r="H668" s="6"/>
      <c r="I668" s="6"/>
      <c r="J668" s="6"/>
      <c r="K668" s="6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4"/>
      <c r="C669" s="4"/>
      <c r="D669" s="4"/>
      <c r="E669" s="4"/>
      <c r="F669" s="4"/>
      <c r="G669" s="4"/>
      <c r="H669" s="6"/>
      <c r="I669" s="6"/>
      <c r="J669" s="6"/>
      <c r="K669" s="6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4"/>
      <c r="C670" s="4"/>
      <c r="D670" s="4"/>
      <c r="E670" s="4"/>
      <c r="F670" s="4"/>
      <c r="G670" s="4"/>
      <c r="H670" s="6"/>
      <c r="I670" s="6"/>
      <c r="J670" s="6"/>
      <c r="K670" s="6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4"/>
      <c r="C671" s="4"/>
      <c r="D671" s="4"/>
      <c r="E671" s="4"/>
      <c r="F671" s="4"/>
      <c r="G671" s="4"/>
      <c r="H671" s="6"/>
      <c r="I671" s="6"/>
      <c r="J671" s="6"/>
      <c r="K671" s="6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4"/>
      <c r="C672" s="4"/>
      <c r="D672" s="4"/>
      <c r="E672" s="4"/>
      <c r="F672" s="4"/>
      <c r="G672" s="4"/>
      <c r="H672" s="6"/>
      <c r="I672" s="6"/>
      <c r="J672" s="6"/>
      <c r="K672" s="6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4"/>
      <c r="C673" s="4"/>
      <c r="D673" s="4"/>
      <c r="E673" s="4"/>
      <c r="F673" s="4"/>
      <c r="G673" s="4"/>
      <c r="H673" s="6"/>
      <c r="I673" s="6"/>
      <c r="J673" s="6"/>
      <c r="K673" s="6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4"/>
      <c r="C674" s="4"/>
      <c r="D674" s="4"/>
      <c r="E674" s="4"/>
      <c r="F674" s="4"/>
      <c r="G674" s="4"/>
      <c r="H674" s="6"/>
      <c r="I674" s="6"/>
      <c r="J674" s="6"/>
      <c r="K674" s="6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4"/>
      <c r="C675" s="4"/>
      <c r="D675" s="4"/>
      <c r="E675" s="4"/>
      <c r="F675" s="4"/>
      <c r="G675" s="4"/>
      <c r="H675" s="6"/>
      <c r="I675" s="6"/>
      <c r="J675" s="6"/>
      <c r="K675" s="6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4"/>
      <c r="C676" s="4"/>
      <c r="D676" s="4"/>
      <c r="E676" s="4"/>
      <c r="F676" s="4"/>
      <c r="G676" s="4"/>
      <c r="H676" s="6"/>
      <c r="I676" s="6"/>
      <c r="J676" s="6"/>
      <c r="K676" s="6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4"/>
      <c r="C677" s="4"/>
      <c r="D677" s="4"/>
      <c r="E677" s="4"/>
      <c r="F677" s="4"/>
      <c r="G677" s="4"/>
      <c r="H677" s="6"/>
      <c r="I677" s="6"/>
      <c r="J677" s="6"/>
      <c r="K677" s="6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4"/>
      <c r="C678" s="4"/>
      <c r="D678" s="4"/>
      <c r="E678" s="4"/>
      <c r="F678" s="4"/>
      <c r="G678" s="4"/>
      <c r="H678" s="6"/>
      <c r="I678" s="6"/>
      <c r="J678" s="6"/>
      <c r="K678" s="6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4"/>
      <c r="C679" s="4"/>
      <c r="D679" s="4"/>
      <c r="E679" s="4"/>
      <c r="F679" s="4"/>
      <c r="G679" s="4"/>
      <c r="H679" s="6"/>
      <c r="I679" s="6"/>
      <c r="J679" s="6"/>
      <c r="K679" s="6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4"/>
      <c r="C680" s="4"/>
      <c r="D680" s="4"/>
      <c r="E680" s="4"/>
      <c r="F680" s="4"/>
      <c r="G680" s="4"/>
      <c r="H680" s="6"/>
      <c r="I680" s="6"/>
      <c r="J680" s="6"/>
      <c r="K680" s="6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4"/>
      <c r="C681" s="4"/>
      <c r="D681" s="4"/>
      <c r="E681" s="4"/>
      <c r="F681" s="4"/>
      <c r="G681" s="4"/>
      <c r="H681" s="6"/>
      <c r="I681" s="6"/>
      <c r="J681" s="6"/>
      <c r="K681" s="6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4"/>
      <c r="C682" s="4"/>
      <c r="D682" s="4"/>
      <c r="E682" s="4"/>
      <c r="F682" s="4"/>
      <c r="G682" s="4"/>
      <c r="H682" s="6"/>
      <c r="I682" s="6"/>
      <c r="J682" s="6"/>
      <c r="K682" s="6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4"/>
      <c r="C683" s="4"/>
      <c r="D683" s="4"/>
      <c r="E683" s="4"/>
      <c r="F683" s="4"/>
      <c r="G683" s="4"/>
      <c r="H683" s="6"/>
      <c r="I683" s="6"/>
      <c r="J683" s="6"/>
      <c r="K683" s="6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4"/>
      <c r="C684" s="4"/>
      <c r="D684" s="4"/>
      <c r="E684" s="4"/>
      <c r="F684" s="4"/>
      <c r="G684" s="4"/>
      <c r="H684" s="6"/>
      <c r="I684" s="6"/>
      <c r="J684" s="6"/>
      <c r="K684" s="6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4"/>
      <c r="C685" s="4"/>
      <c r="D685" s="4"/>
      <c r="E685" s="4"/>
      <c r="F685" s="4"/>
      <c r="G685" s="4"/>
      <c r="H685" s="6"/>
      <c r="I685" s="6"/>
      <c r="J685" s="6"/>
      <c r="K685" s="6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4"/>
      <c r="C686" s="4"/>
      <c r="D686" s="4"/>
      <c r="E686" s="4"/>
      <c r="F686" s="4"/>
      <c r="G686" s="4"/>
      <c r="H686" s="6"/>
      <c r="I686" s="6"/>
      <c r="J686" s="6"/>
      <c r="K686" s="6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4"/>
      <c r="C687" s="4"/>
      <c r="D687" s="4"/>
      <c r="E687" s="4"/>
      <c r="F687" s="4"/>
      <c r="G687" s="4"/>
      <c r="H687" s="6"/>
      <c r="I687" s="6"/>
      <c r="J687" s="6"/>
      <c r="K687" s="6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4"/>
      <c r="C688" s="4"/>
      <c r="D688" s="4"/>
      <c r="E688" s="4"/>
      <c r="F688" s="4"/>
      <c r="G688" s="4"/>
      <c r="H688" s="6"/>
      <c r="I688" s="6"/>
      <c r="J688" s="6"/>
      <c r="K688" s="6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4"/>
      <c r="C689" s="4"/>
      <c r="D689" s="4"/>
      <c r="E689" s="4"/>
      <c r="F689" s="4"/>
      <c r="G689" s="4"/>
      <c r="H689" s="6"/>
      <c r="I689" s="6"/>
      <c r="J689" s="6"/>
      <c r="K689" s="6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4"/>
      <c r="C690" s="4"/>
      <c r="D690" s="4"/>
      <c r="E690" s="4"/>
      <c r="F690" s="4"/>
      <c r="G690" s="4"/>
      <c r="H690" s="6"/>
      <c r="I690" s="6"/>
      <c r="J690" s="6"/>
      <c r="K690" s="6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4"/>
      <c r="C691" s="4"/>
      <c r="D691" s="4"/>
      <c r="E691" s="4"/>
      <c r="F691" s="4"/>
      <c r="G691" s="4"/>
      <c r="H691" s="6"/>
      <c r="I691" s="6"/>
      <c r="J691" s="6"/>
      <c r="K691" s="6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4"/>
      <c r="C692" s="4"/>
      <c r="D692" s="4"/>
      <c r="E692" s="4"/>
      <c r="F692" s="4"/>
      <c r="G692" s="4"/>
      <c r="H692" s="6"/>
      <c r="I692" s="6"/>
      <c r="J692" s="6"/>
      <c r="K692" s="6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4"/>
      <c r="C693" s="4"/>
      <c r="D693" s="4"/>
      <c r="E693" s="4"/>
      <c r="F693" s="4"/>
      <c r="G693" s="4"/>
      <c r="H693" s="6"/>
      <c r="I693" s="6"/>
      <c r="J693" s="6"/>
      <c r="K693" s="6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4"/>
      <c r="C694" s="4"/>
      <c r="D694" s="4"/>
      <c r="E694" s="4"/>
      <c r="F694" s="4"/>
      <c r="G694" s="4"/>
      <c r="H694" s="6"/>
      <c r="I694" s="6"/>
      <c r="J694" s="6"/>
      <c r="K694" s="6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4"/>
      <c r="C695" s="4"/>
      <c r="D695" s="4"/>
      <c r="E695" s="4"/>
      <c r="F695" s="4"/>
      <c r="G695" s="4"/>
      <c r="H695" s="6"/>
      <c r="I695" s="6"/>
      <c r="J695" s="6"/>
      <c r="K695" s="6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4"/>
      <c r="C696" s="4"/>
      <c r="D696" s="4"/>
      <c r="E696" s="4"/>
      <c r="F696" s="4"/>
      <c r="G696" s="4"/>
      <c r="H696" s="6"/>
      <c r="I696" s="6"/>
      <c r="J696" s="6"/>
      <c r="K696" s="6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4"/>
      <c r="C697" s="4"/>
      <c r="D697" s="4"/>
      <c r="E697" s="4"/>
      <c r="F697" s="4"/>
      <c r="G697" s="4"/>
      <c r="H697" s="6"/>
      <c r="I697" s="6"/>
      <c r="J697" s="6"/>
      <c r="K697" s="6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4"/>
      <c r="C698" s="4"/>
      <c r="D698" s="4"/>
      <c r="E698" s="4"/>
      <c r="F698" s="4"/>
      <c r="G698" s="4"/>
      <c r="H698" s="6"/>
      <c r="I698" s="6"/>
      <c r="J698" s="6"/>
      <c r="K698" s="6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4"/>
      <c r="C699" s="4"/>
      <c r="D699" s="4"/>
      <c r="E699" s="4"/>
      <c r="F699" s="4"/>
      <c r="G699" s="4"/>
      <c r="H699" s="6"/>
      <c r="I699" s="6"/>
      <c r="J699" s="6"/>
      <c r="K699" s="6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4"/>
      <c r="C700" s="4"/>
      <c r="D700" s="4"/>
      <c r="E700" s="4"/>
      <c r="F700" s="4"/>
      <c r="G700" s="4"/>
      <c r="H700" s="6"/>
      <c r="I700" s="6"/>
      <c r="J700" s="6"/>
      <c r="K700" s="6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4"/>
      <c r="C701" s="4"/>
      <c r="D701" s="4"/>
      <c r="E701" s="4"/>
      <c r="F701" s="4"/>
      <c r="G701" s="4"/>
      <c r="H701" s="6"/>
      <c r="I701" s="6"/>
      <c r="J701" s="6"/>
      <c r="K701" s="6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4"/>
      <c r="C702" s="4"/>
      <c r="D702" s="4"/>
      <c r="E702" s="4"/>
      <c r="F702" s="4"/>
      <c r="G702" s="4"/>
      <c r="H702" s="6"/>
      <c r="I702" s="6"/>
      <c r="J702" s="6"/>
      <c r="K702" s="6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4"/>
      <c r="C703" s="4"/>
      <c r="D703" s="4"/>
      <c r="E703" s="4"/>
      <c r="F703" s="4"/>
      <c r="G703" s="4"/>
      <c r="H703" s="6"/>
      <c r="I703" s="6"/>
      <c r="J703" s="6"/>
      <c r="K703" s="6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4"/>
      <c r="C704" s="4"/>
      <c r="D704" s="4"/>
      <c r="E704" s="4"/>
      <c r="F704" s="4"/>
      <c r="G704" s="4"/>
      <c r="H704" s="6"/>
      <c r="I704" s="6"/>
      <c r="J704" s="6"/>
      <c r="K704" s="6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4"/>
      <c r="C705" s="4"/>
      <c r="D705" s="4"/>
      <c r="E705" s="4"/>
      <c r="F705" s="4"/>
      <c r="G705" s="4"/>
      <c r="H705" s="6"/>
      <c r="I705" s="6"/>
      <c r="J705" s="6"/>
      <c r="K705" s="6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4"/>
      <c r="C706" s="4"/>
      <c r="D706" s="4"/>
      <c r="E706" s="4"/>
      <c r="F706" s="4"/>
      <c r="G706" s="4"/>
      <c r="H706" s="6"/>
      <c r="I706" s="6"/>
      <c r="J706" s="6"/>
      <c r="K706" s="6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4"/>
      <c r="C707" s="4"/>
      <c r="D707" s="4"/>
      <c r="E707" s="4"/>
      <c r="F707" s="4"/>
      <c r="G707" s="4"/>
      <c r="H707" s="6"/>
      <c r="I707" s="6"/>
      <c r="J707" s="6"/>
      <c r="K707" s="6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4"/>
      <c r="C708" s="4"/>
      <c r="D708" s="4"/>
      <c r="E708" s="4"/>
      <c r="F708" s="4"/>
      <c r="G708" s="4"/>
      <c r="H708" s="6"/>
      <c r="I708" s="6"/>
      <c r="J708" s="6"/>
      <c r="K708" s="6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4"/>
      <c r="C709" s="4"/>
      <c r="D709" s="4"/>
      <c r="E709" s="4"/>
      <c r="F709" s="4"/>
      <c r="G709" s="4"/>
      <c r="H709" s="6"/>
      <c r="I709" s="6"/>
      <c r="J709" s="6"/>
      <c r="K709" s="6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4"/>
      <c r="C710" s="4"/>
      <c r="D710" s="4"/>
      <c r="E710" s="4"/>
      <c r="F710" s="4"/>
      <c r="G710" s="4"/>
      <c r="H710" s="6"/>
      <c r="I710" s="6"/>
      <c r="J710" s="6"/>
      <c r="K710" s="6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4"/>
      <c r="C711" s="4"/>
      <c r="D711" s="4"/>
      <c r="E711" s="4"/>
      <c r="F711" s="4"/>
      <c r="G711" s="4"/>
      <c r="H711" s="6"/>
      <c r="I711" s="6"/>
      <c r="J711" s="6"/>
      <c r="K711" s="6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4"/>
      <c r="C712" s="4"/>
      <c r="D712" s="4"/>
      <c r="E712" s="4"/>
      <c r="F712" s="4"/>
      <c r="G712" s="4"/>
      <c r="H712" s="6"/>
      <c r="I712" s="6"/>
      <c r="J712" s="6"/>
      <c r="K712" s="6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4"/>
      <c r="C713" s="4"/>
      <c r="D713" s="4"/>
      <c r="E713" s="4"/>
      <c r="F713" s="4"/>
      <c r="G713" s="4"/>
      <c r="H713" s="6"/>
      <c r="I713" s="6"/>
      <c r="J713" s="6"/>
      <c r="K713" s="6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4"/>
      <c r="C714" s="4"/>
      <c r="D714" s="4"/>
      <c r="E714" s="4"/>
      <c r="F714" s="4"/>
      <c r="G714" s="4"/>
      <c r="H714" s="6"/>
      <c r="I714" s="6"/>
      <c r="J714" s="6"/>
      <c r="K714" s="6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4"/>
      <c r="C715" s="4"/>
      <c r="D715" s="4"/>
      <c r="E715" s="4"/>
      <c r="F715" s="4"/>
      <c r="G715" s="4"/>
      <c r="H715" s="6"/>
      <c r="I715" s="6"/>
      <c r="J715" s="6"/>
      <c r="K715" s="6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4"/>
      <c r="C716" s="4"/>
      <c r="D716" s="4"/>
      <c r="E716" s="4"/>
      <c r="F716" s="4"/>
      <c r="G716" s="4"/>
      <c r="H716" s="6"/>
      <c r="I716" s="6"/>
      <c r="J716" s="6"/>
      <c r="K716" s="6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4"/>
      <c r="C717" s="4"/>
      <c r="D717" s="4"/>
      <c r="E717" s="4"/>
      <c r="F717" s="4"/>
      <c r="G717" s="4"/>
      <c r="H717" s="6"/>
      <c r="I717" s="6"/>
      <c r="J717" s="6"/>
      <c r="K717" s="6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4"/>
      <c r="C718" s="4"/>
      <c r="D718" s="4"/>
      <c r="E718" s="4"/>
      <c r="F718" s="4"/>
      <c r="G718" s="4"/>
      <c r="H718" s="6"/>
      <c r="I718" s="6"/>
      <c r="J718" s="6"/>
      <c r="K718" s="6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4"/>
      <c r="C719" s="4"/>
      <c r="D719" s="4"/>
      <c r="E719" s="4"/>
      <c r="F719" s="4"/>
      <c r="G719" s="4"/>
      <c r="H719" s="6"/>
      <c r="I719" s="6"/>
      <c r="J719" s="6"/>
      <c r="K719" s="6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4"/>
      <c r="C720" s="4"/>
      <c r="D720" s="4"/>
      <c r="E720" s="4"/>
      <c r="F720" s="4"/>
      <c r="G720" s="4"/>
      <c r="H720" s="6"/>
      <c r="I720" s="6"/>
      <c r="J720" s="6"/>
      <c r="K720" s="6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4"/>
      <c r="C721" s="4"/>
      <c r="D721" s="4"/>
      <c r="E721" s="4"/>
      <c r="F721" s="4"/>
      <c r="G721" s="4"/>
      <c r="H721" s="6"/>
      <c r="I721" s="6"/>
      <c r="J721" s="6"/>
      <c r="K721" s="6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4"/>
      <c r="C722" s="4"/>
      <c r="D722" s="4"/>
      <c r="E722" s="4"/>
      <c r="F722" s="4"/>
      <c r="G722" s="4"/>
      <c r="H722" s="6"/>
      <c r="I722" s="6"/>
      <c r="J722" s="6"/>
      <c r="K722" s="6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4"/>
      <c r="C723" s="4"/>
      <c r="D723" s="4"/>
      <c r="E723" s="4"/>
      <c r="F723" s="4"/>
      <c r="G723" s="4"/>
      <c r="H723" s="6"/>
      <c r="I723" s="6"/>
      <c r="J723" s="6"/>
      <c r="K723" s="6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4"/>
      <c r="C724" s="4"/>
      <c r="D724" s="4"/>
      <c r="E724" s="4"/>
      <c r="F724" s="4"/>
      <c r="G724" s="4"/>
      <c r="H724" s="6"/>
      <c r="I724" s="6"/>
      <c r="J724" s="6"/>
      <c r="K724" s="6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4"/>
      <c r="C725" s="4"/>
      <c r="D725" s="4"/>
      <c r="E725" s="4"/>
      <c r="F725" s="4"/>
      <c r="G725" s="4"/>
      <c r="H725" s="6"/>
      <c r="I725" s="6"/>
      <c r="J725" s="6"/>
      <c r="K725" s="6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4"/>
      <c r="C726" s="4"/>
      <c r="D726" s="4"/>
      <c r="E726" s="4"/>
      <c r="F726" s="4"/>
      <c r="G726" s="4"/>
      <c r="H726" s="6"/>
      <c r="I726" s="6"/>
      <c r="J726" s="6"/>
      <c r="K726" s="6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4"/>
      <c r="C727" s="4"/>
      <c r="D727" s="4"/>
      <c r="E727" s="4"/>
      <c r="F727" s="4"/>
      <c r="G727" s="4"/>
      <c r="H727" s="6"/>
      <c r="I727" s="6"/>
      <c r="J727" s="6"/>
      <c r="K727" s="6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4"/>
      <c r="C728" s="4"/>
      <c r="D728" s="4"/>
      <c r="E728" s="4"/>
      <c r="F728" s="4"/>
      <c r="G728" s="4"/>
      <c r="H728" s="6"/>
      <c r="I728" s="6"/>
      <c r="J728" s="6"/>
      <c r="K728" s="6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4"/>
      <c r="C729" s="4"/>
      <c r="D729" s="4"/>
      <c r="E729" s="4"/>
      <c r="F729" s="4"/>
      <c r="G729" s="4"/>
      <c r="H729" s="6"/>
      <c r="I729" s="6"/>
      <c r="J729" s="6"/>
      <c r="K729" s="6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4"/>
      <c r="C730" s="4"/>
      <c r="D730" s="4"/>
      <c r="E730" s="4"/>
      <c r="F730" s="4"/>
      <c r="G730" s="4"/>
      <c r="H730" s="6"/>
      <c r="I730" s="6"/>
      <c r="J730" s="6"/>
      <c r="K730" s="6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4"/>
      <c r="C731" s="4"/>
      <c r="D731" s="4"/>
      <c r="E731" s="4"/>
      <c r="F731" s="4"/>
      <c r="G731" s="4"/>
      <c r="H731" s="6"/>
      <c r="I731" s="6"/>
      <c r="J731" s="6"/>
      <c r="K731" s="6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4"/>
      <c r="C732" s="4"/>
      <c r="D732" s="4"/>
      <c r="E732" s="4"/>
      <c r="F732" s="4"/>
      <c r="G732" s="4"/>
      <c r="H732" s="6"/>
      <c r="I732" s="6"/>
      <c r="J732" s="6"/>
      <c r="K732" s="6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4"/>
      <c r="C733" s="4"/>
      <c r="D733" s="4"/>
      <c r="E733" s="4"/>
      <c r="F733" s="4"/>
      <c r="G733" s="4"/>
      <c r="H733" s="6"/>
      <c r="I733" s="6"/>
      <c r="J733" s="6"/>
      <c r="K733" s="6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4"/>
      <c r="C734" s="4"/>
      <c r="D734" s="4"/>
      <c r="E734" s="4"/>
      <c r="F734" s="4"/>
      <c r="G734" s="4"/>
      <c r="H734" s="6"/>
      <c r="I734" s="6"/>
      <c r="J734" s="6"/>
      <c r="K734" s="6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4"/>
      <c r="C735" s="4"/>
      <c r="D735" s="4"/>
      <c r="E735" s="4"/>
      <c r="F735" s="4"/>
      <c r="G735" s="4"/>
      <c r="H735" s="6"/>
      <c r="I735" s="6"/>
      <c r="J735" s="6"/>
      <c r="K735" s="6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4"/>
      <c r="C736" s="4"/>
      <c r="D736" s="4"/>
      <c r="E736" s="4"/>
      <c r="F736" s="4"/>
      <c r="G736" s="4"/>
      <c r="H736" s="6"/>
      <c r="I736" s="6"/>
      <c r="J736" s="6"/>
      <c r="K736" s="6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4"/>
      <c r="C737" s="4"/>
      <c r="D737" s="4"/>
      <c r="E737" s="4"/>
      <c r="F737" s="4"/>
      <c r="G737" s="4"/>
      <c r="H737" s="6"/>
      <c r="I737" s="6"/>
      <c r="J737" s="6"/>
      <c r="K737" s="6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4"/>
      <c r="C738" s="4"/>
      <c r="D738" s="4"/>
      <c r="E738" s="4"/>
      <c r="F738" s="4"/>
      <c r="G738" s="4"/>
      <c r="H738" s="6"/>
      <c r="I738" s="6"/>
      <c r="J738" s="6"/>
      <c r="K738" s="6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4"/>
      <c r="C739" s="4"/>
      <c r="D739" s="4"/>
      <c r="E739" s="4"/>
      <c r="F739" s="4"/>
      <c r="G739" s="4"/>
      <c r="H739" s="6"/>
      <c r="I739" s="6"/>
      <c r="J739" s="6"/>
      <c r="K739" s="6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4"/>
      <c r="C740" s="4"/>
      <c r="D740" s="4"/>
      <c r="E740" s="4"/>
      <c r="F740" s="4"/>
      <c r="G740" s="4"/>
      <c r="H740" s="6"/>
      <c r="I740" s="6"/>
      <c r="J740" s="6"/>
      <c r="K740" s="6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4"/>
      <c r="C741" s="4"/>
      <c r="D741" s="4"/>
      <c r="E741" s="4"/>
      <c r="F741" s="4"/>
      <c r="G741" s="4"/>
      <c r="H741" s="6"/>
      <c r="I741" s="6"/>
      <c r="J741" s="6"/>
      <c r="K741" s="6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4"/>
      <c r="C742" s="4"/>
      <c r="D742" s="4"/>
      <c r="E742" s="4"/>
      <c r="F742" s="4"/>
      <c r="G742" s="4"/>
      <c r="H742" s="6"/>
      <c r="I742" s="6"/>
      <c r="J742" s="6"/>
      <c r="K742" s="6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4"/>
      <c r="C743" s="4"/>
      <c r="D743" s="4"/>
      <c r="E743" s="4"/>
      <c r="F743" s="4"/>
      <c r="G743" s="4"/>
      <c r="H743" s="6"/>
      <c r="I743" s="6"/>
      <c r="J743" s="6"/>
      <c r="K743" s="6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4"/>
      <c r="C744" s="4"/>
      <c r="D744" s="4"/>
      <c r="E744" s="4"/>
      <c r="F744" s="4"/>
      <c r="G744" s="4"/>
      <c r="H744" s="6"/>
      <c r="I744" s="6"/>
      <c r="J744" s="6"/>
      <c r="K744" s="6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4"/>
      <c r="C745" s="4"/>
      <c r="D745" s="4"/>
      <c r="E745" s="4"/>
      <c r="F745" s="4"/>
      <c r="G745" s="4"/>
      <c r="H745" s="6"/>
      <c r="I745" s="6"/>
      <c r="J745" s="6"/>
      <c r="K745" s="6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4"/>
      <c r="C746" s="4"/>
      <c r="D746" s="4"/>
      <c r="E746" s="4"/>
      <c r="F746" s="4"/>
      <c r="G746" s="4"/>
      <c r="H746" s="6"/>
      <c r="I746" s="6"/>
      <c r="J746" s="6"/>
      <c r="K746" s="6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4"/>
      <c r="C747" s="4"/>
      <c r="D747" s="4"/>
      <c r="E747" s="4"/>
      <c r="F747" s="4"/>
      <c r="G747" s="4"/>
      <c r="H747" s="6"/>
      <c r="I747" s="6"/>
      <c r="J747" s="6"/>
      <c r="K747" s="6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4"/>
      <c r="C748" s="4"/>
      <c r="D748" s="4"/>
      <c r="E748" s="4"/>
      <c r="F748" s="4"/>
      <c r="G748" s="4"/>
      <c r="H748" s="6"/>
      <c r="I748" s="6"/>
      <c r="J748" s="6"/>
      <c r="K748" s="6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4"/>
      <c r="C749" s="4"/>
      <c r="D749" s="4"/>
      <c r="E749" s="4"/>
      <c r="F749" s="4"/>
      <c r="G749" s="4"/>
      <c r="H749" s="6"/>
      <c r="I749" s="6"/>
      <c r="J749" s="6"/>
      <c r="K749" s="6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4"/>
      <c r="C750" s="4"/>
      <c r="D750" s="4"/>
      <c r="E750" s="4"/>
      <c r="F750" s="4"/>
      <c r="G750" s="4"/>
      <c r="H750" s="6"/>
      <c r="I750" s="6"/>
      <c r="J750" s="6"/>
      <c r="K750" s="6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4"/>
      <c r="C751" s="4"/>
      <c r="D751" s="4"/>
      <c r="E751" s="4"/>
      <c r="F751" s="4"/>
      <c r="G751" s="4"/>
      <c r="H751" s="6"/>
      <c r="I751" s="6"/>
      <c r="J751" s="6"/>
      <c r="K751" s="6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4"/>
      <c r="C752" s="4"/>
      <c r="D752" s="4"/>
      <c r="E752" s="4"/>
      <c r="F752" s="4"/>
      <c r="G752" s="4"/>
      <c r="H752" s="6"/>
      <c r="I752" s="6"/>
      <c r="J752" s="6"/>
      <c r="K752" s="6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4"/>
      <c r="C753" s="4"/>
      <c r="D753" s="4"/>
      <c r="E753" s="4"/>
      <c r="F753" s="4"/>
      <c r="G753" s="4"/>
      <c r="H753" s="6"/>
      <c r="I753" s="6"/>
      <c r="J753" s="6"/>
      <c r="K753" s="6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4"/>
      <c r="C754" s="4"/>
      <c r="D754" s="4"/>
      <c r="E754" s="4"/>
      <c r="F754" s="4"/>
      <c r="G754" s="4"/>
      <c r="H754" s="6"/>
      <c r="I754" s="6"/>
      <c r="J754" s="6"/>
      <c r="K754" s="6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4"/>
      <c r="C755" s="4"/>
      <c r="D755" s="4"/>
      <c r="E755" s="4"/>
      <c r="F755" s="4"/>
      <c r="G755" s="4"/>
      <c r="H755" s="6"/>
      <c r="I755" s="6"/>
      <c r="J755" s="6"/>
      <c r="K755" s="6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4"/>
      <c r="C756" s="4"/>
      <c r="D756" s="4"/>
      <c r="E756" s="4"/>
      <c r="F756" s="4"/>
      <c r="G756" s="4"/>
      <c r="H756" s="6"/>
      <c r="I756" s="6"/>
      <c r="J756" s="6"/>
      <c r="K756" s="6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4"/>
      <c r="C757" s="4"/>
      <c r="D757" s="4"/>
      <c r="E757" s="4"/>
      <c r="F757" s="4"/>
      <c r="G757" s="4"/>
      <c r="H757" s="6"/>
      <c r="I757" s="6"/>
      <c r="J757" s="6"/>
      <c r="K757" s="6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4"/>
      <c r="C758" s="4"/>
      <c r="D758" s="4"/>
      <c r="E758" s="4"/>
      <c r="F758" s="4"/>
      <c r="G758" s="4"/>
      <c r="H758" s="6"/>
      <c r="I758" s="6"/>
      <c r="J758" s="6"/>
      <c r="K758" s="6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4"/>
      <c r="C759" s="4"/>
      <c r="D759" s="4"/>
      <c r="E759" s="4"/>
      <c r="F759" s="4"/>
      <c r="G759" s="4"/>
      <c r="H759" s="6"/>
      <c r="I759" s="6"/>
      <c r="J759" s="6"/>
      <c r="K759" s="6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4"/>
      <c r="C760" s="4"/>
      <c r="D760" s="4"/>
      <c r="E760" s="4"/>
      <c r="F760" s="4"/>
      <c r="G760" s="4"/>
      <c r="H760" s="6"/>
      <c r="I760" s="6"/>
      <c r="J760" s="6"/>
      <c r="K760" s="6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4"/>
      <c r="C761" s="4"/>
      <c r="D761" s="4"/>
      <c r="E761" s="4"/>
      <c r="F761" s="4"/>
      <c r="G761" s="4"/>
      <c r="H761" s="6"/>
      <c r="I761" s="6"/>
      <c r="J761" s="6"/>
      <c r="K761" s="6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4"/>
      <c r="C762" s="4"/>
      <c r="D762" s="4"/>
      <c r="E762" s="4"/>
      <c r="F762" s="4"/>
      <c r="G762" s="4"/>
      <c r="H762" s="6"/>
      <c r="I762" s="6"/>
      <c r="J762" s="6"/>
      <c r="K762" s="6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4"/>
      <c r="C763" s="4"/>
      <c r="D763" s="4"/>
      <c r="E763" s="4"/>
      <c r="F763" s="4"/>
      <c r="G763" s="4"/>
      <c r="H763" s="6"/>
      <c r="I763" s="6"/>
      <c r="J763" s="6"/>
      <c r="K763" s="6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4"/>
      <c r="C764" s="4"/>
      <c r="D764" s="4"/>
      <c r="E764" s="4"/>
      <c r="F764" s="4"/>
      <c r="G764" s="4"/>
      <c r="H764" s="6"/>
      <c r="I764" s="6"/>
      <c r="J764" s="6"/>
      <c r="K764" s="6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4"/>
      <c r="C765" s="4"/>
      <c r="D765" s="4"/>
      <c r="E765" s="4"/>
      <c r="F765" s="4"/>
      <c r="G765" s="4"/>
      <c r="H765" s="6"/>
      <c r="I765" s="6"/>
      <c r="J765" s="6"/>
      <c r="K765" s="6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4"/>
      <c r="C766" s="4"/>
      <c r="D766" s="4"/>
      <c r="E766" s="4"/>
      <c r="F766" s="4"/>
      <c r="G766" s="4"/>
      <c r="H766" s="6"/>
      <c r="I766" s="6"/>
      <c r="J766" s="6"/>
      <c r="K766" s="6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4"/>
      <c r="C767" s="4"/>
      <c r="D767" s="4"/>
      <c r="E767" s="4"/>
      <c r="F767" s="4"/>
      <c r="G767" s="4"/>
      <c r="H767" s="6"/>
      <c r="I767" s="6"/>
      <c r="J767" s="6"/>
      <c r="K767" s="6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4"/>
      <c r="C768" s="4"/>
      <c r="D768" s="4"/>
      <c r="E768" s="4"/>
      <c r="F768" s="4"/>
      <c r="G768" s="4"/>
      <c r="H768" s="6"/>
      <c r="I768" s="6"/>
      <c r="J768" s="6"/>
      <c r="K768" s="6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4"/>
      <c r="C769" s="4"/>
      <c r="D769" s="4"/>
      <c r="E769" s="4"/>
      <c r="F769" s="4"/>
      <c r="G769" s="4"/>
      <c r="H769" s="6"/>
      <c r="I769" s="6"/>
      <c r="J769" s="6"/>
      <c r="K769" s="6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4"/>
      <c r="C770" s="4"/>
      <c r="D770" s="4"/>
      <c r="E770" s="4"/>
      <c r="F770" s="4"/>
      <c r="G770" s="4"/>
      <c r="H770" s="6"/>
      <c r="I770" s="6"/>
      <c r="J770" s="6"/>
      <c r="K770" s="6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4"/>
      <c r="C771" s="4"/>
      <c r="D771" s="4"/>
      <c r="E771" s="4"/>
      <c r="F771" s="4"/>
      <c r="G771" s="4"/>
      <c r="H771" s="6"/>
      <c r="I771" s="6"/>
      <c r="J771" s="6"/>
      <c r="K771" s="6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4"/>
      <c r="C772" s="4"/>
      <c r="D772" s="4"/>
      <c r="E772" s="4"/>
      <c r="F772" s="4"/>
      <c r="G772" s="4"/>
      <c r="H772" s="6"/>
      <c r="I772" s="6"/>
      <c r="J772" s="6"/>
      <c r="K772" s="6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4"/>
      <c r="C773" s="4"/>
      <c r="D773" s="4"/>
      <c r="E773" s="4"/>
      <c r="F773" s="4"/>
      <c r="G773" s="4"/>
      <c r="H773" s="6"/>
      <c r="I773" s="6"/>
      <c r="J773" s="6"/>
      <c r="K773" s="6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4"/>
      <c r="C774" s="4"/>
      <c r="D774" s="4"/>
      <c r="E774" s="4"/>
      <c r="F774" s="4"/>
      <c r="G774" s="4"/>
      <c r="H774" s="6"/>
      <c r="I774" s="6"/>
      <c r="J774" s="6"/>
      <c r="K774" s="6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4"/>
      <c r="C775" s="4"/>
      <c r="D775" s="4"/>
      <c r="E775" s="4"/>
      <c r="F775" s="4"/>
      <c r="G775" s="4"/>
      <c r="H775" s="6"/>
      <c r="I775" s="6"/>
      <c r="J775" s="6"/>
      <c r="K775" s="6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4"/>
      <c r="C776" s="4"/>
      <c r="D776" s="4"/>
      <c r="E776" s="4"/>
      <c r="F776" s="4"/>
      <c r="G776" s="4"/>
      <c r="H776" s="6"/>
      <c r="I776" s="6"/>
      <c r="J776" s="6"/>
      <c r="K776" s="6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4"/>
      <c r="C777" s="4"/>
      <c r="D777" s="4"/>
      <c r="E777" s="4"/>
      <c r="F777" s="4"/>
      <c r="G777" s="4"/>
      <c r="H777" s="6"/>
      <c r="I777" s="6"/>
      <c r="J777" s="6"/>
      <c r="K777" s="6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4"/>
      <c r="C778" s="4"/>
      <c r="D778" s="4"/>
      <c r="E778" s="4"/>
      <c r="F778" s="4"/>
      <c r="G778" s="4"/>
      <c r="H778" s="6"/>
      <c r="I778" s="6"/>
      <c r="J778" s="6"/>
      <c r="K778" s="6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4"/>
      <c r="C779" s="4"/>
      <c r="D779" s="4"/>
      <c r="E779" s="4"/>
      <c r="F779" s="4"/>
      <c r="G779" s="4"/>
      <c r="H779" s="6"/>
      <c r="I779" s="6"/>
      <c r="J779" s="6"/>
      <c r="K779" s="6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4"/>
      <c r="C780" s="4"/>
      <c r="D780" s="4"/>
      <c r="E780" s="4"/>
      <c r="F780" s="4"/>
      <c r="G780" s="4"/>
      <c r="H780" s="6"/>
      <c r="I780" s="6"/>
      <c r="J780" s="6"/>
      <c r="K780" s="6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4"/>
      <c r="C781" s="4"/>
      <c r="D781" s="4"/>
      <c r="E781" s="4"/>
      <c r="F781" s="4"/>
      <c r="G781" s="4"/>
      <c r="H781" s="6"/>
      <c r="I781" s="6"/>
      <c r="J781" s="6"/>
      <c r="K781" s="6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4"/>
      <c r="C782" s="4"/>
      <c r="D782" s="4"/>
      <c r="E782" s="4"/>
      <c r="F782" s="4"/>
      <c r="G782" s="4"/>
      <c r="H782" s="6"/>
      <c r="I782" s="6"/>
      <c r="J782" s="6"/>
      <c r="K782" s="6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4"/>
      <c r="C783" s="4"/>
      <c r="D783" s="4"/>
      <c r="E783" s="4"/>
      <c r="F783" s="4"/>
      <c r="G783" s="4"/>
      <c r="H783" s="6"/>
      <c r="I783" s="6"/>
      <c r="J783" s="6"/>
      <c r="K783" s="6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4"/>
      <c r="C784" s="4"/>
      <c r="D784" s="4"/>
      <c r="E784" s="4"/>
      <c r="F784" s="4"/>
      <c r="G784" s="4"/>
      <c r="H784" s="6"/>
      <c r="I784" s="6"/>
      <c r="J784" s="6"/>
      <c r="K784" s="6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4"/>
      <c r="C785" s="4"/>
      <c r="D785" s="4"/>
      <c r="E785" s="4"/>
      <c r="F785" s="4"/>
      <c r="G785" s="4"/>
      <c r="H785" s="6"/>
      <c r="I785" s="6"/>
      <c r="J785" s="6"/>
      <c r="K785" s="6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4"/>
      <c r="C786" s="4"/>
      <c r="D786" s="4"/>
      <c r="E786" s="4"/>
      <c r="F786" s="4"/>
      <c r="G786" s="4"/>
      <c r="H786" s="6"/>
      <c r="I786" s="6"/>
      <c r="J786" s="6"/>
      <c r="K786" s="6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4"/>
      <c r="C787" s="4"/>
      <c r="D787" s="4"/>
      <c r="E787" s="4"/>
      <c r="F787" s="4"/>
      <c r="G787" s="4"/>
      <c r="H787" s="6"/>
      <c r="I787" s="6"/>
      <c r="J787" s="6"/>
      <c r="K787" s="6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4"/>
      <c r="C788" s="4"/>
      <c r="D788" s="4"/>
      <c r="E788" s="4"/>
      <c r="F788" s="4"/>
      <c r="G788" s="4"/>
      <c r="H788" s="6"/>
      <c r="I788" s="6"/>
      <c r="J788" s="6"/>
      <c r="K788" s="6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4"/>
      <c r="C789" s="4"/>
      <c r="D789" s="4"/>
      <c r="E789" s="4"/>
      <c r="F789" s="4"/>
      <c r="G789" s="4"/>
      <c r="H789" s="6"/>
      <c r="I789" s="6"/>
      <c r="J789" s="6"/>
      <c r="K789" s="6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4"/>
      <c r="C790" s="4"/>
      <c r="D790" s="4"/>
      <c r="E790" s="4"/>
      <c r="F790" s="4"/>
      <c r="G790" s="4"/>
      <c r="H790" s="6"/>
      <c r="I790" s="6"/>
      <c r="J790" s="6"/>
      <c r="K790" s="6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4"/>
      <c r="C791" s="4"/>
      <c r="D791" s="4"/>
      <c r="E791" s="4"/>
      <c r="F791" s="4"/>
      <c r="G791" s="4"/>
      <c r="H791" s="6"/>
      <c r="I791" s="6"/>
      <c r="J791" s="6"/>
      <c r="K791" s="6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4"/>
      <c r="C792" s="4"/>
      <c r="D792" s="4"/>
      <c r="E792" s="4"/>
      <c r="F792" s="4"/>
      <c r="G792" s="4"/>
      <c r="H792" s="6"/>
      <c r="I792" s="6"/>
      <c r="J792" s="6"/>
      <c r="K792" s="6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4"/>
      <c r="C793" s="4"/>
      <c r="D793" s="4"/>
      <c r="E793" s="4"/>
      <c r="F793" s="4"/>
      <c r="G793" s="4"/>
      <c r="H793" s="6"/>
      <c r="I793" s="6"/>
      <c r="J793" s="6"/>
      <c r="K793" s="6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4"/>
      <c r="C794" s="4"/>
      <c r="D794" s="4"/>
      <c r="E794" s="4"/>
      <c r="F794" s="4"/>
      <c r="G794" s="4"/>
      <c r="H794" s="6"/>
      <c r="I794" s="6"/>
      <c r="J794" s="6"/>
      <c r="K794" s="6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4"/>
      <c r="C795" s="4"/>
      <c r="D795" s="4"/>
      <c r="E795" s="4"/>
      <c r="F795" s="4"/>
      <c r="G795" s="4"/>
      <c r="H795" s="6"/>
      <c r="I795" s="6"/>
      <c r="J795" s="6"/>
      <c r="K795" s="6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4"/>
      <c r="C796" s="4"/>
      <c r="D796" s="4"/>
      <c r="E796" s="4"/>
      <c r="F796" s="4"/>
      <c r="G796" s="4"/>
      <c r="H796" s="6"/>
      <c r="I796" s="6"/>
      <c r="J796" s="6"/>
      <c r="K796" s="6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4"/>
      <c r="C797" s="4"/>
      <c r="D797" s="4"/>
      <c r="E797" s="4"/>
      <c r="F797" s="4"/>
      <c r="G797" s="4"/>
      <c r="H797" s="6"/>
      <c r="I797" s="6"/>
      <c r="J797" s="6"/>
      <c r="K797" s="6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4"/>
      <c r="C798" s="4"/>
      <c r="D798" s="4"/>
      <c r="E798" s="4"/>
      <c r="F798" s="4"/>
      <c r="G798" s="4"/>
      <c r="H798" s="6"/>
      <c r="I798" s="6"/>
      <c r="J798" s="6"/>
      <c r="K798" s="6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4"/>
      <c r="C799" s="4"/>
      <c r="D799" s="4"/>
      <c r="E799" s="4"/>
      <c r="F799" s="4"/>
      <c r="G799" s="4"/>
      <c r="H799" s="6"/>
      <c r="I799" s="6"/>
      <c r="J799" s="6"/>
      <c r="K799" s="6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4"/>
      <c r="C800" s="4"/>
      <c r="D800" s="4"/>
      <c r="E800" s="4"/>
      <c r="F800" s="4"/>
      <c r="G800" s="4"/>
      <c r="H800" s="6"/>
      <c r="I800" s="6"/>
      <c r="J800" s="6"/>
      <c r="K800" s="6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4"/>
      <c r="C801" s="4"/>
      <c r="D801" s="4"/>
      <c r="E801" s="4"/>
      <c r="F801" s="4"/>
      <c r="G801" s="4"/>
      <c r="H801" s="6"/>
      <c r="I801" s="6"/>
      <c r="J801" s="6"/>
      <c r="K801" s="6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4"/>
      <c r="C802" s="4"/>
      <c r="D802" s="4"/>
      <c r="E802" s="4"/>
      <c r="F802" s="4"/>
      <c r="G802" s="4"/>
      <c r="H802" s="6"/>
      <c r="I802" s="6"/>
      <c r="J802" s="6"/>
      <c r="K802" s="6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4"/>
      <c r="C803" s="4"/>
      <c r="D803" s="4"/>
      <c r="E803" s="4"/>
      <c r="F803" s="4"/>
      <c r="G803" s="4"/>
      <c r="H803" s="6"/>
      <c r="I803" s="6"/>
      <c r="J803" s="6"/>
      <c r="K803" s="6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4"/>
      <c r="C804" s="4"/>
      <c r="D804" s="4"/>
      <c r="E804" s="4"/>
      <c r="F804" s="4"/>
      <c r="G804" s="4"/>
      <c r="H804" s="6"/>
      <c r="I804" s="6"/>
      <c r="J804" s="6"/>
      <c r="K804" s="6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4"/>
      <c r="C805" s="4"/>
      <c r="D805" s="4"/>
      <c r="E805" s="4"/>
      <c r="F805" s="4"/>
      <c r="G805" s="4"/>
      <c r="H805" s="6"/>
      <c r="I805" s="6"/>
      <c r="J805" s="6"/>
      <c r="K805" s="6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4"/>
      <c r="C806" s="4"/>
      <c r="D806" s="4"/>
      <c r="E806" s="4"/>
      <c r="F806" s="4"/>
      <c r="G806" s="4"/>
      <c r="H806" s="6"/>
      <c r="I806" s="6"/>
      <c r="J806" s="6"/>
      <c r="K806" s="6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4"/>
      <c r="C807" s="4"/>
      <c r="D807" s="4"/>
      <c r="E807" s="4"/>
      <c r="F807" s="4"/>
      <c r="G807" s="4"/>
      <c r="H807" s="6"/>
      <c r="I807" s="6"/>
      <c r="J807" s="6"/>
      <c r="K807" s="6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4"/>
      <c r="C808" s="4"/>
      <c r="D808" s="4"/>
      <c r="E808" s="4"/>
      <c r="F808" s="4"/>
      <c r="G808" s="4"/>
      <c r="H808" s="6"/>
      <c r="I808" s="6"/>
      <c r="J808" s="6"/>
      <c r="K808" s="6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4"/>
      <c r="C809" s="4"/>
      <c r="D809" s="4"/>
      <c r="E809" s="4"/>
      <c r="F809" s="4"/>
      <c r="G809" s="4"/>
      <c r="H809" s="6"/>
      <c r="I809" s="6"/>
      <c r="J809" s="6"/>
      <c r="K809" s="6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4"/>
      <c r="C810" s="4"/>
      <c r="D810" s="4"/>
      <c r="E810" s="4"/>
      <c r="F810" s="4"/>
      <c r="G810" s="4"/>
      <c r="H810" s="6"/>
      <c r="I810" s="6"/>
      <c r="J810" s="6"/>
      <c r="K810" s="6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4"/>
      <c r="C811" s="4"/>
      <c r="D811" s="4"/>
      <c r="E811" s="4"/>
      <c r="F811" s="4"/>
      <c r="G811" s="4"/>
      <c r="H811" s="6"/>
      <c r="I811" s="6"/>
      <c r="J811" s="6"/>
      <c r="K811" s="6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4"/>
      <c r="C812" s="4"/>
      <c r="D812" s="4"/>
      <c r="E812" s="4"/>
      <c r="F812" s="4"/>
      <c r="G812" s="4"/>
      <c r="H812" s="6"/>
      <c r="I812" s="6"/>
      <c r="J812" s="6"/>
      <c r="K812" s="6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4"/>
      <c r="C813" s="4"/>
      <c r="D813" s="4"/>
      <c r="E813" s="4"/>
      <c r="F813" s="4"/>
      <c r="G813" s="4"/>
      <c r="H813" s="6"/>
      <c r="I813" s="6"/>
      <c r="J813" s="6"/>
      <c r="K813" s="6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4"/>
      <c r="C814" s="4"/>
      <c r="D814" s="4"/>
      <c r="E814" s="4"/>
      <c r="F814" s="4"/>
      <c r="G814" s="4"/>
      <c r="H814" s="6"/>
      <c r="I814" s="6"/>
      <c r="J814" s="6"/>
      <c r="K814" s="6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4"/>
      <c r="C815" s="4"/>
      <c r="D815" s="4"/>
      <c r="E815" s="4"/>
      <c r="F815" s="4"/>
      <c r="G815" s="4"/>
      <c r="H815" s="6"/>
      <c r="I815" s="6"/>
      <c r="J815" s="6"/>
      <c r="K815" s="6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4"/>
      <c r="C816" s="4"/>
      <c r="D816" s="4"/>
      <c r="E816" s="4"/>
      <c r="F816" s="4"/>
      <c r="G816" s="4"/>
      <c r="H816" s="6"/>
      <c r="I816" s="6"/>
      <c r="J816" s="6"/>
      <c r="K816" s="6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4"/>
      <c r="C817" s="4"/>
      <c r="D817" s="4"/>
      <c r="E817" s="4"/>
      <c r="F817" s="4"/>
      <c r="G817" s="4"/>
      <c r="H817" s="6"/>
      <c r="I817" s="6"/>
      <c r="J817" s="6"/>
      <c r="K817" s="6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4"/>
      <c r="C818" s="4"/>
      <c r="D818" s="4"/>
      <c r="E818" s="4"/>
      <c r="F818" s="4"/>
      <c r="G818" s="4"/>
      <c r="H818" s="6"/>
      <c r="I818" s="6"/>
      <c r="J818" s="6"/>
      <c r="K818" s="6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4"/>
      <c r="C819" s="4"/>
      <c r="D819" s="4"/>
      <c r="E819" s="4"/>
      <c r="F819" s="4"/>
      <c r="G819" s="4"/>
      <c r="H819" s="6"/>
      <c r="I819" s="6"/>
      <c r="J819" s="6"/>
      <c r="K819" s="6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4"/>
      <c r="C820" s="4"/>
      <c r="D820" s="4"/>
      <c r="E820" s="4"/>
      <c r="F820" s="4"/>
      <c r="G820" s="4"/>
      <c r="H820" s="6"/>
      <c r="I820" s="6"/>
      <c r="J820" s="6"/>
      <c r="K820" s="6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4"/>
      <c r="C821" s="4"/>
      <c r="D821" s="4"/>
      <c r="E821" s="4"/>
      <c r="F821" s="4"/>
      <c r="G821" s="4"/>
      <c r="H821" s="6"/>
      <c r="I821" s="6"/>
      <c r="J821" s="6"/>
      <c r="K821" s="6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4"/>
      <c r="C822" s="4"/>
      <c r="D822" s="4"/>
      <c r="E822" s="4"/>
      <c r="F822" s="4"/>
      <c r="G822" s="4"/>
      <c r="H822" s="6"/>
      <c r="I822" s="6"/>
      <c r="J822" s="6"/>
      <c r="K822" s="6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4"/>
      <c r="C823" s="4"/>
      <c r="D823" s="4"/>
      <c r="E823" s="4"/>
      <c r="F823" s="4"/>
      <c r="G823" s="4"/>
      <c r="H823" s="6"/>
      <c r="I823" s="6"/>
      <c r="J823" s="6"/>
      <c r="K823" s="6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4"/>
      <c r="C824" s="4"/>
      <c r="D824" s="4"/>
      <c r="E824" s="4"/>
      <c r="F824" s="4"/>
      <c r="G824" s="4"/>
      <c r="H824" s="6"/>
      <c r="I824" s="6"/>
      <c r="J824" s="6"/>
      <c r="K824" s="6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4"/>
      <c r="C825" s="4"/>
      <c r="D825" s="4"/>
      <c r="E825" s="4"/>
      <c r="F825" s="4"/>
      <c r="G825" s="4"/>
      <c r="H825" s="6"/>
      <c r="I825" s="6"/>
      <c r="J825" s="6"/>
      <c r="K825" s="6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4"/>
      <c r="C826" s="4"/>
      <c r="D826" s="4"/>
      <c r="E826" s="4"/>
      <c r="F826" s="4"/>
      <c r="G826" s="4"/>
      <c r="H826" s="6"/>
      <c r="I826" s="6"/>
      <c r="J826" s="6"/>
      <c r="K826" s="6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4"/>
      <c r="C827" s="4"/>
      <c r="D827" s="4"/>
      <c r="E827" s="4"/>
      <c r="F827" s="4"/>
      <c r="G827" s="4"/>
      <c r="H827" s="6"/>
      <c r="I827" s="6"/>
      <c r="J827" s="6"/>
      <c r="K827" s="6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4"/>
      <c r="C828" s="4"/>
      <c r="D828" s="4"/>
      <c r="E828" s="4"/>
      <c r="F828" s="4"/>
      <c r="G828" s="4"/>
      <c r="H828" s="6"/>
      <c r="I828" s="6"/>
      <c r="J828" s="6"/>
      <c r="K828" s="6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4"/>
      <c r="C829" s="4"/>
      <c r="D829" s="4"/>
      <c r="E829" s="4"/>
      <c r="F829" s="4"/>
      <c r="G829" s="4"/>
      <c r="H829" s="6"/>
      <c r="I829" s="6"/>
      <c r="J829" s="6"/>
      <c r="K829" s="6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4"/>
      <c r="C830" s="4"/>
      <c r="D830" s="4"/>
      <c r="E830" s="4"/>
      <c r="F830" s="4"/>
      <c r="G830" s="4"/>
      <c r="H830" s="6"/>
      <c r="I830" s="6"/>
      <c r="J830" s="6"/>
      <c r="K830" s="6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4"/>
      <c r="C831" s="4"/>
      <c r="D831" s="4"/>
      <c r="E831" s="4"/>
      <c r="F831" s="4"/>
      <c r="G831" s="4"/>
      <c r="H831" s="6"/>
      <c r="I831" s="6"/>
      <c r="J831" s="6"/>
      <c r="K831" s="6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4"/>
      <c r="C832" s="4"/>
      <c r="D832" s="4"/>
      <c r="E832" s="4"/>
      <c r="F832" s="4"/>
      <c r="G832" s="4"/>
      <c r="H832" s="6"/>
      <c r="I832" s="6"/>
      <c r="J832" s="6"/>
      <c r="K832" s="6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4"/>
      <c r="C833" s="4"/>
      <c r="D833" s="4"/>
      <c r="E833" s="4"/>
      <c r="F833" s="4"/>
      <c r="G833" s="4"/>
      <c r="H833" s="6"/>
      <c r="I833" s="6"/>
      <c r="J833" s="6"/>
      <c r="K833" s="6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4"/>
      <c r="C834" s="4"/>
      <c r="D834" s="4"/>
      <c r="E834" s="4"/>
      <c r="F834" s="4"/>
      <c r="G834" s="4"/>
      <c r="H834" s="6"/>
      <c r="I834" s="6"/>
      <c r="J834" s="6"/>
      <c r="K834" s="6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4"/>
      <c r="C835" s="4"/>
      <c r="D835" s="4"/>
      <c r="E835" s="4"/>
      <c r="F835" s="4"/>
      <c r="G835" s="4"/>
      <c r="H835" s="6"/>
      <c r="I835" s="6"/>
      <c r="J835" s="6"/>
      <c r="K835" s="6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4"/>
      <c r="C836" s="4"/>
      <c r="D836" s="4"/>
      <c r="E836" s="4"/>
      <c r="F836" s="4"/>
      <c r="G836" s="4"/>
      <c r="H836" s="6"/>
      <c r="I836" s="6"/>
      <c r="J836" s="6"/>
      <c r="K836" s="6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4"/>
      <c r="C837" s="4"/>
      <c r="D837" s="4"/>
      <c r="E837" s="4"/>
      <c r="F837" s="4"/>
      <c r="G837" s="4"/>
      <c r="H837" s="6"/>
      <c r="I837" s="6"/>
      <c r="J837" s="6"/>
      <c r="K837" s="6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4"/>
      <c r="C838" s="4"/>
      <c r="D838" s="4"/>
      <c r="E838" s="4"/>
      <c r="F838" s="4"/>
      <c r="G838" s="4"/>
      <c r="H838" s="6"/>
      <c r="I838" s="6"/>
      <c r="J838" s="6"/>
      <c r="K838" s="6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4"/>
      <c r="C839" s="4"/>
      <c r="D839" s="4"/>
      <c r="E839" s="4"/>
      <c r="F839" s="4"/>
      <c r="G839" s="4"/>
      <c r="H839" s="6"/>
      <c r="I839" s="6"/>
      <c r="J839" s="6"/>
      <c r="K839" s="6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4"/>
      <c r="C840" s="4"/>
      <c r="D840" s="4"/>
      <c r="E840" s="4"/>
      <c r="F840" s="4"/>
      <c r="G840" s="4"/>
      <c r="H840" s="6"/>
      <c r="I840" s="6"/>
      <c r="J840" s="6"/>
      <c r="K840" s="6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4"/>
      <c r="C841" s="4"/>
      <c r="D841" s="4"/>
      <c r="E841" s="4"/>
      <c r="F841" s="4"/>
      <c r="G841" s="4"/>
      <c r="H841" s="6"/>
      <c r="I841" s="6"/>
      <c r="J841" s="6"/>
      <c r="K841" s="6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4"/>
      <c r="C842" s="4"/>
      <c r="D842" s="4"/>
      <c r="E842" s="4"/>
      <c r="F842" s="4"/>
      <c r="G842" s="4"/>
      <c r="H842" s="6"/>
      <c r="I842" s="6"/>
      <c r="J842" s="6"/>
      <c r="K842" s="6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4"/>
      <c r="C843" s="4"/>
      <c r="D843" s="4"/>
      <c r="E843" s="4"/>
      <c r="F843" s="4"/>
      <c r="G843" s="4"/>
      <c r="H843" s="6"/>
      <c r="I843" s="6"/>
      <c r="J843" s="6"/>
      <c r="K843" s="6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4"/>
      <c r="C844" s="4"/>
      <c r="D844" s="4"/>
      <c r="E844" s="4"/>
      <c r="F844" s="4"/>
      <c r="G844" s="4"/>
      <c r="H844" s="6"/>
      <c r="I844" s="6"/>
      <c r="J844" s="6"/>
      <c r="K844" s="6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4"/>
      <c r="C845" s="4"/>
      <c r="D845" s="4"/>
      <c r="E845" s="4"/>
      <c r="F845" s="4"/>
      <c r="G845" s="4"/>
      <c r="H845" s="6"/>
      <c r="I845" s="6"/>
      <c r="J845" s="6"/>
      <c r="K845" s="6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4"/>
      <c r="C846" s="4"/>
      <c r="D846" s="4"/>
      <c r="E846" s="4"/>
      <c r="F846" s="4"/>
      <c r="G846" s="4"/>
      <c r="H846" s="6"/>
      <c r="I846" s="6"/>
      <c r="J846" s="6"/>
      <c r="K846" s="6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4"/>
      <c r="C847" s="4"/>
      <c r="D847" s="4"/>
      <c r="E847" s="4"/>
      <c r="F847" s="4"/>
      <c r="G847" s="4"/>
      <c r="H847" s="6"/>
      <c r="I847" s="6"/>
      <c r="J847" s="6"/>
      <c r="K847" s="6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4"/>
      <c r="C848" s="4"/>
      <c r="D848" s="4"/>
      <c r="E848" s="4"/>
      <c r="F848" s="4"/>
      <c r="G848" s="4"/>
      <c r="H848" s="6"/>
      <c r="I848" s="6"/>
      <c r="J848" s="6"/>
      <c r="K848" s="6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4"/>
      <c r="C849" s="4"/>
      <c r="D849" s="4"/>
      <c r="E849" s="4"/>
      <c r="F849" s="4"/>
      <c r="G849" s="4"/>
      <c r="H849" s="6"/>
      <c r="I849" s="6"/>
      <c r="J849" s="6"/>
      <c r="K849" s="6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4"/>
      <c r="C850" s="4"/>
      <c r="D850" s="4"/>
      <c r="E850" s="4"/>
      <c r="F850" s="4"/>
      <c r="G850" s="4"/>
      <c r="H850" s="6"/>
      <c r="I850" s="6"/>
      <c r="J850" s="6"/>
      <c r="K850" s="6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4"/>
      <c r="C851" s="4"/>
      <c r="D851" s="4"/>
      <c r="E851" s="4"/>
      <c r="F851" s="4"/>
      <c r="G851" s="4"/>
      <c r="H851" s="6"/>
      <c r="I851" s="6"/>
      <c r="J851" s="6"/>
      <c r="K851" s="6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4"/>
      <c r="C852" s="4"/>
      <c r="D852" s="4"/>
      <c r="E852" s="4"/>
      <c r="F852" s="4"/>
      <c r="G852" s="4"/>
      <c r="H852" s="6"/>
      <c r="I852" s="6"/>
      <c r="J852" s="6"/>
      <c r="K852" s="6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4"/>
      <c r="C853" s="4"/>
      <c r="D853" s="4"/>
      <c r="E853" s="4"/>
      <c r="F853" s="4"/>
      <c r="G853" s="4"/>
      <c r="H853" s="6"/>
      <c r="I853" s="6"/>
      <c r="J853" s="6"/>
      <c r="K853" s="6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4"/>
      <c r="C854" s="4"/>
      <c r="D854" s="4"/>
      <c r="E854" s="4"/>
      <c r="F854" s="4"/>
      <c r="G854" s="4"/>
      <c r="H854" s="6"/>
      <c r="I854" s="6"/>
      <c r="J854" s="6"/>
      <c r="K854" s="6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4"/>
      <c r="C855" s="4"/>
      <c r="D855" s="4"/>
      <c r="E855" s="4"/>
      <c r="F855" s="4"/>
      <c r="G855" s="4"/>
      <c r="H855" s="6"/>
      <c r="I855" s="6"/>
      <c r="J855" s="6"/>
      <c r="K855" s="6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4"/>
      <c r="C856" s="4"/>
      <c r="D856" s="4"/>
      <c r="E856" s="4"/>
      <c r="F856" s="4"/>
      <c r="G856" s="4"/>
      <c r="H856" s="6"/>
      <c r="I856" s="6"/>
      <c r="J856" s="6"/>
      <c r="K856" s="6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4"/>
      <c r="C857" s="4"/>
      <c r="D857" s="4"/>
      <c r="E857" s="4"/>
      <c r="F857" s="4"/>
      <c r="G857" s="4"/>
      <c r="H857" s="6"/>
      <c r="I857" s="6"/>
      <c r="J857" s="6"/>
      <c r="K857" s="6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4"/>
      <c r="C858" s="4"/>
      <c r="D858" s="4"/>
      <c r="E858" s="4"/>
      <c r="F858" s="4"/>
      <c r="G858" s="4"/>
      <c r="H858" s="6"/>
      <c r="I858" s="6"/>
      <c r="J858" s="6"/>
      <c r="K858" s="6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4"/>
      <c r="C859" s="4"/>
      <c r="D859" s="4"/>
      <c r="E859" s="4"/>
      <c r="F859" s="4"/>
      <c r="G859" s="4"/>
      <c r="H859" s="6"/>
      <c r="I859" s="6"/>
      <c r="J859" s="6"/>
      <c r="K859" s="6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4"/>
      <c r="C860" s="4"/>
      <c r="D860" s="4"/>
      <c r="E860" s="4"/>
      <c r="F860" s="4"/>
      <c r="G860" s="4"/>
      <c r="H860" s="6"/>
      <c r="I860" s="6"/>
      <c r="J860" s="6"/>
      <c r="K860" s="6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4"/>
      <c r="C861" s="4"/>
      <c r="D861" s="4"/>
      <c r="E861" s="4"/>
      <c r="F861" s="4"/>
      <c r="G861" s="4"/>
      <c r="H861" s="6"/>
      <c r="I861" s="6"/>
      <c r="J861" s="6"/>
      <c r="K861" s="6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4"/>
      <c r="C862" s="4"/>
      <c r="D862" s="4"/>
      <c r="E862" s="4"/>
      <c r="F862" s="4"/>
      <c r="G862" s="4"/>
      <c r="H862" s="6"/>
      <c r="I862" s="6"/>
      <c r="J862" s="6"/>
      <c r="K862" s="6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4"/>
      <c r="C863" s="4"/>
      <c r="D863" s="4"/>
      <c r="E863" s="4"/>
      <c r="F863" s="4"/>
      <c r="G863" s="4"/>
      <c r="H863" s="6"/>
      <c r="I863" s="6"/>
      <c r="J863" s="6"/>
      <c r="K863" s="6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4"/>
      <c r="C864" s="4"/>
      <c r="D864" s="4"/>
      <c r="E864" s="4"/>
      <c r="F864" s="4"/>
      <c r="G864" s="4"/>
      <c r="H864" s="6"/>
      <c r="I864" s="6"/>
      <c r="J864" s="6"/>
      <c r="K864" s="6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4"/>
      <c r="C865" s="4"/>
      <c r="D865" s="4"/>
      <c r="E865" s="4"/>
      <c r="F865" s="4"/>
      <c r="G865" s="4"/>
      <c r="H865" s="6"/>
      <c r="I865" s="6"/>
      <c r="J865" s="6"/>
      <c r="K865" s="6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4"/>
      <c r="C866" s="4"/>
      <c r="D866" s="4"/>
      <c r="E866" s="4"/>
      <c r="F866" s="4"/>
      <c r="G866" s="4"/>
      <c r="H866" s="6"/>
      <c r="I866" s="6"/>
      <c r="J866" s="6"/>
      <c r="K866" s="6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4"/>
      <c r="C867" s="4"/>
      <c r="D867" s="4"/>
      <c r="E867" s="4"/>
      <c r="F867" s="4"/>
      <c r="G867" s="4"/>
      <c r="H867" s="6"/>
      <c r="I867" s="6"/>
      <c r="J867" s="6"/>
      <c r="K867" s="6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4"/>
      <c r="C868" s="4"/>
      <c r="D868" s="4"/>
      <c r="E868" s="4"/>
      <c r="F868" s="4"/>
      <c r="G868" s="4"/>
      <c r="H868" s="6"/>
      <c r="I868" s="6"/>
      <c r="J868" s="6"/>
      <c r="K868" s="6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4"/>
      <c r="C869" s="4"/>
      <c r="D869" s="4"/>
      <c r="E869" s="4"/>
      <c r="F869" s="4"/>
      <c r="G869" s="4"/>
      <c r="H869" s="6"/>
      <c r="I869" s="6"/>
      <c r="J869" s="6"/>
      <c r="K869" s="6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4"/>
      <c r="C870" s="4"/>
      <c r="D870" s="4"/>
      <c r="E870" s="4"/>
      <c r="F870" s="4"/>
      <c r="G870" s="4"/>
      <c r="H870" s="6"/>
      <c r="I870" s="6"/>
      <c r="J870" s="6"/>
      <c r="K870" s="6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4"/>
      <c r="C871" s="4"/>
      <c r="D871" s="4"/>
      <c r="E871" s="4"/>
      <c r="F871" s="4"/>
      <c r="G871" s="4"/>
      <c r="H871" s="6"/>
      <c r="I871" s="6"/>
      <c r="J871" s="6"/>
      <c r="K871" s="6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4"/>
      <c r="C872" s="4"/>
      <c r="D872" s="4"/>
      <c r="E872" s="4"/>
      <c r="F872" s="4"/>
      <c r="G872" s="4"/>
      <c r="H872" s="6"/>
      <c r="I872" s="6"/>
      <c r="J872" s="6"/>
      <c r="K872" s="6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4"/>
      <c r="C873" s="4"/>
      <c r="D873" s="4"/>
      <c r="E873" s="4"/>
      <c r="F873" s="4"/>
      <c r="G873" s="4"/>
      <c r="H873" s="6"/>
      <c r="I873" s="6"/>
      <c r="J873" s="6"/>
      <c r="K873" s="6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4"/>
      <c r="C874" s="4"/>
      <c r="D874" s="4"/>
      <c r="E874" s="4"/>
      <c r="F874" s="4"/>
      <c r="G874" s="4"/>
      <c r="H874" s="6"/>
      <c r="I874" s="6"/>
      <c r="J874" s="6"/>
      <c r="K874" s="6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4"/>
      <c r="C875" s="4"/>
      <c r="D875" s="4"/>
      <c r="E875" s="4"/>
      <c r="F875" s="4"/>
      <c r="G875" s="4"/>
      <c r="H875" s="6"/>
      <c r="I875" s="6"/>
      <c r="J875" s="6"/>
      <c r="K875" s="6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4"/>
      <c r="C876" s="4"/>
      <c r="D876" s="4"/>
      <c r="E876" s="4"/>
      <c r="F876" s="4"/>
      <c r="G876" s="4"/>
      <c r="H876" s="6"/>
      <c r="I876" s="6"/>
      <c r="J876" s="6"/>
      <c r="K876" s="6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4"/>
      <c r="C877" s="4"/>
      <c r="D877" s="4"/>
      <c r="E877" s="4"/>
      <c r="F877" s="4"/>
      <c r="G877" s="4"/>
      <c r="H877" s="6"/>
      <c r="I877" s="6"/>
      <c r="J877" s="6"/>
      <c r="K877" s="6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4"/>
      <c r="C878" s="4"/>
      <c r="D878" s="4"/>
      <c r="E878" s="4"/>
      <c r="F878" s="4"/>
      <c r="G878" s="4"/>
      <c r="H878" s="6"/>
      <c r="I878" s="6"/>
      <c r="J878" s="6"/>
      <c r="K878" s="6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4"/>
      <c r="C879" s="4"/>
      <c r="D879" s="4"/>
      <c r="E879" s="4"/>
      <c r="F879" s="4"/>
      <c r="G879" s="4"/>
      <c r="H879" s="6"/>
      <c r="I879" s="6"/>
      <c r="J879" s="6"/>
      <c r="K879" s="6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4"/>
      <c r="C880" s="4"/>
      <c r="D880" s="4"/>
      <c r="E880" s="4"/>
      <c r="F880" s="4"/>
      <c r="G880" s="4"/>
      <c r="H880" s="6"/>
      <c r="I880" s="6"/>
      <c r="J880" s="6"/>
      <c r="K880" s="6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4"/>
      <c r="C881" s="4"/>
      <c r="D881" s="4"/>
      <c r="E881" s="4"/>
      <c r="F881" s="4"/>
      <c r="G881" s="4"/>
      <c r="H881" s="6"/>
      <c r="I881" s="6"/>
      <c r="J881" s="6"/>
      <c r="K881" s="6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4"/>
      <c r="C882" s="4"/>
      <c r="D882" s="4"/>
      <c r="E882" s="4"/>
      <c r="F882" s="4"/>
      <c r="G882" s="4"/>
      <c r="H882" s="6"/>
      <c r="I882" s="6"/>
      <c r="J882" s="6"/>
      <c r="K882" s="6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4"/>
      <c r="C883" s="4"/>
      <c r="D883" s="4"/>
      <c r="E883" s="4"/>
      <c r="F883" s="4"/>
      <c r="G883" s="4"/>
      <c r="H883" s="6"/>
      <c r="I883" s="6"/>
      <c r="J883" s="6"/>
      <c r="K883" s="6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4"/>
      <c r="C884" s="4"/>
      <c r="D884" s="4"/>
      <c r="E884" s="4"/>
      <c r="F884" s="4"/>
      <c r="G884" s="4"/>
      <c r="H884" s="6"/>
      <c r="I884" s="6"/>
      <c r="J884" s="6"/>
      <c r="K884" s="6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4"/>
      <c r="C885" s="4"/>
      <c r="D885" s="4"/>
      <c r="E885" s="4"/>
      <c r="F885" s="4"/>
      <c r="G885" s="4"/>
      <c r="H885" s="6"/>
      <c r="I885" s="6"/>
      <c r="J885" s="6"/>
      <c r="K885" s="6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4"/>
      <c r="C886" s="4"/>
      <c r="D886" s="4"/>
      <c r="E886" s="4"/>
      <c r="F886" s="4"/>
      <c r="G886" s="4"/>
      <c r="H886" s="6"/>
      <c r="I886" s="6"/>
      <c r="J886" s="6"/>
      <c r="K886" s="6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4"/>
      <c r="C887" s="4"/>
      <c r="D887" s="4"/>
      <c r="E887" s="4"/>
      <c r="F887" s="4"/>
      <c r="G887" s="4"/>
      <c r="H887" s="6"/>
      <c r="I887" s="6"/>
      <c r="J887" s="6"/>
      <c r="K887" s="6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4"/>
      <c r="C888" s="4"/>
      <c r="D888" s="4"/>
      <c r="E888" s="4"/>
      <c r="F888" s="4"/>
      <c r="G888" s="4"/>
      <c r="H888" s="6"/>
      <c r="I888" s="6"/>
      <c r="J888" s="6"/>
      <c r="K888" s="6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4"/>
      <c r="C889" s="4"/>
      <c r="D889" s="4"/>
      <c r="E889" s="4"/>
      <c r="F889" s="4"/>
      <c r="G889" s="4"/>
      <c r="H889" s="6"/>
      <c r="I889" s="6"/>
      <c r="J889" s="6"/>
      <c r="K889" s="6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4"/>
      <c r="C890" s="4"/>
      <c r="D890" s="4"/>
      <c r="E890" s="4"/>
      <c r="F890" s="4"/>
      <c r="G890" s="4"/>
      <c r="H890" s="6"/>
      <c r="I890" s="6"/>
      <c r="J890" s="6"/>
      <c r="K890" s="6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4"/>
      <c r="C891" s="4"/>
      <c r="D891" s="4"/>
      <c r="E891" s="4"/>
      <c r="F891" s="4"/>
      <c r="G891" s="4"/>
      <c r="H891" s="6"/>
      <c r="I891" s="6"/>
      <c r="J891" s="6"/>
      <c r="K891" s="6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4"/>
      <c r="C892" s="4"/>
      <c r="D892" s="4"/>
      <c r="E892" s="4"/>
      <c r="F892" s="4"/>
      <c r="G892" s="4"/>
      <c r="H892" s="6"/>
      <c r="I892" s="6"/>
      <c r="J892" s="6"/>
      <c r="K892" s="6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4"/>
      <c r="C893" s="4"/>
      <c r="D893" s="4"/>
      <c r="E893" s="4"/>
      <c r="F893" s="4"/>
      <c r="G893" s="4"/>
      <c r="H893" s="6"/>
      <c r="I893" s="6"/>
      <c r="J893" s="6"/>
      <c r="K893" s="6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4"/>
      <c r="C894" s="4"/>
      <c r="D894" s="4"/>
      <c r="E894" s="4"/>
      <c r="F894" s="4"/>
      <c r="G894" s="4"/>
      <c r="H894" s="6"/>
      <c r="I894" s="6"/>
      <c r="J894" s="6"/>
      <c r="K894" s="6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4"/>
      <c r="C895" s="4"/>
      <c r="D895" s="4"/>
      <c r="E895" s="4"/>
      <c r="F895" s="4"/>
      <c r="G895" s="4"/>
      <c r="H895" s="6"/>
      <c r="I895" s="6"/>
      <c r="J895" s="6"/>
      <c r="K895" s="6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4"/>
      <c r="C896" s="4"/>
      <c r="D896" s="4"/>
      <c r="E896" s="4"/>
      <c r="F896" s="4"/>
      <c r="G896" s="4"/>
      <c r="H896" s="6"/>
      <c r="I896" s="6"/>
      <c r="J896" s="6"/>
      <c r="K896" s="6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4"/>
      <c r="C897" s="4"/>
      <c r="D897" s="4"/>
      <c r="E897" s="4"/>
      <c r="F897" s="4"/>
      <c r="G897" s="4"/>
      <c r="H897" s="6"/>
      <c r="I897" s="6"/>
      <c r="J897" s="6"/>
      <c r="K897" s="6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4"/>
      <c r="C898" s="4"/>
      <c r="D898" s="4"/>
      <c r="E898" s="4"/>
      <c r="F898" s="4"/>
      <c r="G898" s="4"/>
      <c r="H898" s="6"/>
      <c r="I898" s="6"/>
      <c r="J898" s="6"/>
      <c r="K898" s="6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4"/>
      <c r="C899" s="4"/>
      <c r="D899" s="4"/>
      <c r="E899" s="4"/>
      <c r="F899" s="4"/>
      <c r="G899" s="4"/>
      <c r="H899" s="6"/>
      <c r="I899" s="6"/>
      <c r="J899" s="6"/>
      <c r="K899" s="6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4"/>
      <c r="C900" s="4"/>
      <c r="D900" s="4"/>
      <c r="E900" s="4"/>
      <c r="F900" s="4"/>
      <c r="G900" s="4"/>
      <c r="H900" s="6"/>
      <c r="I900" s="6"/>
      <c r="J900" s="6"/>
      <c r="K900" s="6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4"/>
      <c r="C901" s="4"/>
      <c r="D901" s="4"/>
      <c r="E901" s="4"/>
      <c r="F901" s="4"/>
      <c r="G901" s="4"/>
      <c r="H901" s="6"/>
      <c r="I901" s="6"/>
      <c r="J901" s="6"/>
      <c r="K901" s="6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4"/>
      <c r="C902" s="4"/>
      <c r="D902" s="4"/>
      <c r="E902" s="4"/>
      <c r="F902" s="4"/>
      <c r="G902" s="4"/>
      <c r="H902" s="6"/>
      <c r="I902" s="6"/>
      <c r="J902" s="6"/>
      <c r="K902" s="6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4"/>
      <c r="C903" s="4"/>
      <c r="D903" s="4"/>
      <c r="E903" s="4"/>
      <c r="F903" s="4"/>
      <c r="G903" s="4"/>
      <c r="H903" s="6"/>
      <c r="I903" s="6"/>
      <c r="J903" s="6"/>
      <c r="K903" s="6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4"/>
      <c r="C904" s="4"/>
      <c r="D904" s="4"/>
      <c r="E904" s="4"/>
      <c r="F904" s="4"/>
      <c r="G904" s="4"/>
      <c r="H904" s="6"/>
      <c r="I904" s="6"/>
      <c r="J904" s="6"/>
      <c r="K904" s="6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4"/>
      <c r="C905" s="4"/>
      <c r="D905" s="4"/>
      <c r="E905" s="4"/>
      <c r="F905" s="4"/>
      <c r="G905" s="4"/>
      <c r="H905" s="6"/>
      <c r="I905" s="6"/>
      <c r="J905" s="6"/>
      <c r="K905" s="6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4"/>
      <c r="C906" s="4"/>
      <c r="D906" s="4"/>
      <c r="E906" s="4"/>
      <c r="F906" s="4"/>
      <c r="G906" s="4"/>
      <c r="H906" s="6"/>
      <c r="I906" s="6"/>
      <c r="J906" s="6"/>
      <c r="K906" s="6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4"/>
      <c r="C907" s="4"/>
      <c r="D907" s="4"/>
      <c r="E907" s="4"/>
      <c r="F907" s="4"/>
      <c r="G907" s="4"/>
      <c r="H907" s="6"/>
      <c r="I907" s="6"/>
      <c r="J907" s="6"/>
      <c r="K907" s="6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4"/>
      <c r="C908" s="4"/>
      <c r="D908" s="4"/>
      <c r="E908" s="4"/>
      <c r="F908" s="4"/>
      <c r="G908" s="4"/>
      <c r="H908" s="6"/>
      <c r="I908" s="6"/>
      <c r="J908" s="6"/>
      <c r="K908" s="6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4"/>
      <c r="C909" s="4"/>
      <c r="D909" s="4"/>
      <c r="E909" s="4"/>
      <c r="F909" s="4"/>
      <c r="G909" s="4"/>
      <c r="H909" s="6"/>
      <c r="I909" s="6"/>
      <c r="J909" s="6"/>
      <c r="K909" s="6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4"/>
      <c r="C910" s="4"/>
      <c r="D910" s="4"/>
      <c r="E910" s="4"/>
      <c r="F910" s="4"/>
      <c r="G910" s="4"/>
      <c r="H910" s="6"/>
      <c r="I910" s="6"/>
      <c r="J910" s="6"/>
      <c r="K910" s="6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4"/>
      <c r="C911" s="4"/>
      <c r="D911" s="4"/>
      <c r="E911" s="4"/>
      <c r="F911" s="4"/>
      <c r="G911" s="4"/>
      <c r="H911" s="6"/>
      <c r="I911" s="6"/>
      <c r="J911" s="6"/>
      <c r="K911" s="6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4"/>
      <c r="C912" s="4"/>
      <c r="D912" s="4"/>
      <c r="E912" s="4"/>
      <c r="F912" s="4"/>
      <c r="G912" s="4"/>
      <c r="H912" s="6"/>
      <c r="I912" s="6"/>
      <c r="J912" s="6"/>
      <c r="K912" s="6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4"/>
      <c r="C913" s="4"/>
      <c r="D913" s="4"/>
      <c r="E913" s="4"/>
      <c r="F913" s="4"/>
      <c r="G913" s="4"/>
      <c r="H913" s="6"/>
      <c r="I913" s="6"/>
      <c r="J913" s="6"/>
      <c r="K913" s="6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4"/>
      <c r="C914" s="4"/>
      <c r="D914" s="4"/>
      <c r="E914" s="4"/>
      <c r="F914" s="4"/>
      <c r="G914" s="4"/>
      <c r="H914" s="6"/>
      <c r="I914" s="6"/>
      <c r="J914" s="6"/>
      <c r="K914" s="6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4"/>
      <c r="C915" s="4"/>
      <c r="D915" s="4"/>
      <c r="E915" s="4"/>
      <c r="F915" s="4"/>
      <c r="G915" s="4"/>
      <c r="H915" s="6"/>
      <c r="I915" s="6"/>
      <c r="J915" s="6"/>
      <c r="K915" s="6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4"/>
      <c r="C916" s="4"/>
      <c r="D916" s="4"/>
      <c r="E916" s="4"/>
      <c r="F916" s="4"/>
      <c r="G916" s="4"/>
      <c r="H916" s="6"/>
      <c r="I916" s="6"/>
      <c r="J916" s="6"/>
      <c r="K916" s="6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4"/>
      <c r="C917" s="4"/>
      <c r="D917" s="4"/>
      <c r="E917" s="4"/>
      <c r="F917" s="4"/>
      <c r="G917" s="4"/>
      <c r="H917" s="6"/>
      <c r="I917" s="6"/>
      <c r="J917" s="6"/>
      <c r="K917" s="6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4"/>
      <c r="C918" s="4"/>
      <c r="D918" s="4"/>
      <c r="E918" s="4"/>
      <c r="F918" s="4"/>
      <c r="G918" s="4"/>
      <c r="H918" s="6"/>
      <c r="I918" s="6"/>
      <c r="J918" s="6"/>
      <c r="K918" s="6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4"/>
      <c r="C919" s="4"/>
      <c r="D919" s="4"/>
      <c r="E919" s="4"/>
      <c r="F919" s="4"/>
      <c r="G919" s="4"/>
      <c r="H919" s="6"/>
      <c r="I919" s="6"/>
      <c r="J919" s="6"/>
      <c r="K919" s="6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4"/>
      <c r="C920" s="4"/>
      <c r="D920" s="4"/>
      <c r="E920" s="4"/>
      <c r="F920" s="4"/>
      <c r="G920" s="4"/>
      <c r="H920" s="6"/>
      <c r="I920" s="6"/>
      <c r="J920" s="6"/>
      <c r="K920" s="6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4"/>
      <c r="C921" s="4"/>
      <c r="D921" s="4"/>
      <c r="E921" s="4"/>
      <c r="F921" s="4"/>
      <c r="G921" s="4"/>
      <c r="H921" s="6"/>
      <c r="I921" s="6"/>
      <c r="J921" s="6"/>
      <c r="K921" s="6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4"/>
      <c r="C922" s="4"/>
      <c r="D922" s="4"/>
      <c r="E922" s="4"/>
      <c r="F922" s="4"/>
      <c r="G922" s="4"/>
      <c r="H922" s="6"/>
      <c r="I922" s="6"/>
      <c r="J922" s="6"/>
      <c r="K922" s="6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4"/>
      <c r="C923" s="4"/>
      <c r="D923" s="4"/>
      <c r="E923" s="4"/>
      <c r="F923" s="4"/>
      <c r="G923" s="4"/>
      <c r="H923" s="6"/>
      <c r="I923" s="6"/>
      <c r="J923" s="6"/>
      <c r="K923" s="6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4"/>
      <c r="C924" s="4"/>
      <c r="D924" s="4"/>
      <c r="E924" s="4"/>
      <c r="F924" s="4"/>
      <c r="G924" s="4"/>
      <c r="H924" s="6"/>
      <c r="I924" s="6"/>
      <c r="J924" s="6"/>
      <c r="K924" s="6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4"/>
      <c r="C925" s="4"/>
      <c r="D925" s="4"/>
      <c r="E925" s="4"/>
      <c r="F925" s="4"/>
      <c r="G925" s="4"/>
      <c r="H925" s="6"/>
      <c r="I925" s="6"/>
      <c r="J925" s="6"/>
      <c r="K925" s="6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4"/>
      <c r="C926" s="4"/>
      <c r="D926" s="4"/>
      <c r="E926" s="4"/>
      <c r="F926" s="4"/>
      <c r="G926" s="4"/>
      <c r="H926" s="6"/>
      <c r="I926" s="6"/>
      <c r="J926" s="6"/>
      <c r="K926" s="6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4"/>
      <c r="C927" s="4"/>
      <c r="D927" s="4"/>
      <c r="E927" s="4"/>
      <c r="F927" s="4"/>
      <c r="G927" s="4"/>
      <c r="H927" s="6"/>
      <c r="I927" s="6"/>
      <c r="J927" s="6"/>
      <c r="K927" s="6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4"/>
      <c r="C928" s="4"/>
      <c r="D928" s="4"/>
      <c r="E928" s="4"/>
      <c r="F928" s="4"/>
      <c r="G928" s="4"/>
      <c r="H928" s="6"/>
      <c r="I928" s="6"/>
      <c r="J928" s="6"/>
      <c r="K928" s="6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4"/>
      <c r="C929" s="4"/>
      <c r="D929" s="4"/>
      <c r="E929" s="4"/>
      <c r="F929" s="4"/>
      <c r="G929" s="4"/>
      <c r="H929" s="6"/>
      <c r="I929" s="6"/>
      <c r="J929" s="6"/>
      <c r="K929" s="6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4"/>
      <c r="C930" s="4"/>
      <c r="D930" s="4"/>
      <c r="E930" s="4"/>
      <c r="F930" s="4"/>
      <c r="G930" s="4"/>
      <c r="H930" s="6"/>
      <c r="I930" s="6"/>
      <c r="J930" s="6"/>
      <c r="K930" s="6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4"/>
      <c r="C931" s="4"/>
      <c r="D931" s="4"/>
      <c r="E931" s="4"/>
      <c r="F931" s="4"/>
      <c r="G931" s="4"/>
      <c r="H931" s="6"/>
      <c r="I931" s="6"/>
      <c r="J931" s="6"/>
      <c r="K931" s="6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4"/>
      <c r="C932" s="4"/>
      <c r="D932" s="4"/>
      <c r="E932" s="4"/>
      <c r="F932" s="4"/>
      <c r="G932" s="4"/>
      <c r="H932" s="6"/>
      <c r="I932" s="6"/>
      <c r="J932" s="6"/>
      <c r="K932" s="6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4"/>
      <c r="C933" s="4"/>
      <c r="D933" s="4"/>
      <c r="E933" s="4"/>
      <c r="F933" s="4"/>
      <c r="G933" s="4"/>
      <c r="H933" s="6"/>
      <c r="I933" s="6"/>
      <c r="J933" s="6"/>
      <c r="K933" s="6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4"/>
      <c r="C934" s="4"/>
      <c r="D934" s="4"/>
      <c r="E934" s="4"/>
      <c r="F934" s="4"/>
      <c r="G934" s="4"/>
      <c r="H934" s="6"/>
      <c r="I934" s="6"/>
      <c r="J934" s="6"/>
      <c r="K934" s="6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4"/>
      <c r="C935" s="4"/>
      <c r="D935" s="4"/>
      <c r="E935" s="4"/>
      <c r="F935" s="4"/>
      <c r="G935" s="4"/>
      <c r="H935" s="6"/>
      <c r="I935" s="6"/>
      <c r="J935" s="6"/>
      <c r="K935" s="6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4"/>
      <c r="C936" s="4"/>
      <c r="D936" s="4"/>
      <c r="E936" s="4"/>
      <c r="F936" s="4"/>
      <c r="G936" s="4"/>
      <c r="H936" s="6"/>
      <c r="I936" s="6"/>
      <c r="J936" s="6"/>
      <c r="K936" s="6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4"/>
      <c r="C937" s="4"/>
      <c r="D937" s="4"/>
      <c r="E937" s="4"/>
      <c r="F937" s="4"/>
      <c r="G937" s="4"/>
      <c r="H937" s="6"/>
      <c r="I937" s="6"/>
      <c r="J937" s="6"/>
      <c r="K937" s="6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4"/>
      <c r="C938" s="4"/>
      <c r="D938" s="4"/>
      <c r="E938" s="4"/>
      <c r="F938" s="4"/>
      <c r="G938" s="4"/>
      <c r="H938" s="6"/>
      <c r="I938" s="6"/>
      <c r="J938" s="6"/>
      <c r="K938" s="6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4"/>
      <c r="C939" s="4"/>
      <c r="D939" s="4"/>
      <c r="E939" s="4"/>
      <c r="F939" s="4"/>
      <c r="G939" s="4"/>
      <c r="H939" s="6"/>
      <c r="I939" s="6"/>
      <c r="J939" s="6"/>
      <c r="K939" s="6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4"/>
      <c r="C940" s="4"/>
      <c r="D940" s="4"/>
      <c r="E940" s="4"/>
      <c r="F940" s="4"/>
      <c r="G940" s="4"/>
      <c r="H940" s="6"/>
      <c r="I940" s="6"/>
      <c r="J940" s="6"/>
      <c r="K940" s="6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4"/>
      <c r="C941" s="4"/>
      <c r="D941" s="4"/>
      <c r="E941" s="4"/>
      <c r="F941" s="4"/>
      <c r="G941" s="4"/>
      <c r="H941" s="6"/>
      <c r="I941" s="6"/>
      <c r="J941" s="6"/>
      <c r="K941" s="6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4"/>
      <c r="C942" s="4"/>
      <c r="D942" s="4"/>
      <c r="E942" s="4"/>
      <c r="F942" s="4"/>
      <c r="G942" s="4"/>
      <c r="H942" s="6"/>
      <c r="I942" s="6"/>
      <c r="J942" s="6"/>
      <c r="K942" s="6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4"/>
      <c r="C943" s="4"/>
      <c r="D943" s="4"/>
      <c r="E943" s="4"/>
      <c r="F943" s="4"/>
      <c r="G943" s="4"/>
      <c r="H943" s="6"/>
      <c r="I943" s="6"/>
      <c r="J943" s="6"/>
      <c r="K943" s="6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4"/>
      <c r="C944" s="4"/>
      <c r="D944" s="4"/>
      <c r="E944" s="4"/>
      <c r="F944" s="4"/>
      <c r="G944" s="4"/>
      <c r="H944" s="6"/>
      <c r="I944" s="6"/>
      <c r="J944" s="6"/>
      <c r="K944" s="6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4"/>
      <c r="C945" s="4"/>
      <c r="D945" s="4"/>
      <c r="E945" s="4"/>
      <c r="F945" s="4"/>
      <c r="G945" s="4"/>
      <c r="H945" s="6"/>
      <c r="I945" s="6"/>
      <c r="J945" s="6"/>
      <c r="K945" s="6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4"/>
      <c r="C946" s="4"/>
      <c r="D946" s="4"/>
      <c r="E946" s="4"/>
      <c r="F946" s="4"/>
      <c r="G946" s="4"/>
      <c r="H946" s="6"/>
      <c r="I946" s="6"/>
      <c r="J946" s="6"/>
      <c r="K946" s="6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4"/>
      <c r="C947" s="4"/>
      <c r="D947" s="4"/>
      <c r="E947" s="4"/>
      <c r="F947" s="4"/>
      <c r="G947" s="4"/>
      <c r="H947" s="6"/>
      <c r="I947" s="6"/>
      <c r="J947" s="6"/>
      <c r="K947" s="6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4"/>
      <c r="C948" s="4"/>
      <c r="D948" s="4"/>
      <c r="E948" s="4"/>
      <c r="F948" s="4"/>
      <c r="G948" s="4"/>
      <c r="H948" s="6"/>
      <c r="I948" s="6"/>
      <c r="J948" s="6"/>
      <c r="K948" s="6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4"/>
      <c r="C949" s="4"/>
      <c r="D949" s="4"/>
      <c r="E949" s="4"/>
      <c r="F949" s="4"/>
      <c r="G949" s="4"/>
      <c r="H949" s="6"/>
      <c r="I949" s="6"/>
      <c r="J949" s="6"/>
      <c r="K949" s="6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4"/>
      <c r="C950" s="4"/>
      <c r="D950" s="4"/>
      <c r="E950" s="4"/>
      <c r="F950" s="4"/>
      <c r="G950" s="4"/>
      <c r="H950" s="6"/>
      <c r="I950" s="6"/>
      <c r="J950" s="6"/>
      <c r="K950" s="6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4"/>
      <c r="C951" s="4"/>
      <c r="D951" s="4"/>
      <c r="E951" s="4"/>
      <c r="F951" s="4"/>
      <c r="G951" s="4"/>
      <c r="H951" s="6"/>
      <c r="I951" s="6"/>
      <c r="J951" s="6"/>
      <c r="K951" s="6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4"/>
      <c r="C952" s="4"/>
      <c r="D952" s="4"/>
      <c r="E952" s="4"/>
      <c r="F952" s="4"/>
      <c r="G952" s="4"/>
      <c r="H952" s="6"/>
      <c r="I952" s="6"/>
      <c r="J952" s="6"/>
      <c r="K952" s="6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4"/>
      <c r="C953" s="4"/>
      <c r="D953" s="4"/>
      <c r="E953" s="4"/>
      <c r="F953" s="4"/>
      <c r="G953" s="4"/>
      <c r="H953" s="6"/>
      <c r="I953" s="6"/>
      <c r="J953" s="6"/>
      <c r="K953" s="6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4"/>
      <c r="C954" s="4"/>
      <c r="D954" s="4"/>
      <c r="E954" s="4"/>
      <c r="F954" s="4"/>
      <c r="G954" s="4"/>
      <c r="H954" s="6"/>
      <c r="I954" s="6"/>
      <c r="J954" s="6"/>
      <c r="K954" s="6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4"/>
      <c r="C955" s="4"/>
      <c r="D955" s="4"/>
      <c r="E955" s="4"/>
      <c r="F955" s="4"/>
      <c r="G955" s="4"/>
      <c r="H955" s="6"/>
      <c r="I955" s="6"/>
      <c r="J955" s="6"/>
      <c r="K955" s="6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4"/>
      <c r="C956" s="4"/>
      <c r="D956" s="4"/>
      <c r="E956" s="4"/>
      <c r="F956" s="4"/>
      <c r="G956" s="4"/>
      <c r="H956" s="6"/>
      <c r="I956" s="6"/>
      <c r="J956" s="6"/>
      <c r="K956" s="6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4"/>
      <c r="C957" s="4"/>
      <c r="D957" s="4"/>
      <c r="E957" s="4"/>
      <c r="F957" s="4"/>
      <c r="G957" s="4"/>
      <c r="H957" s="6"/>
      <c r="I957" s="6"/>
      <c r="J957" s="6"/>
      <c r="K957" s="6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4"/>
      <c r="C958" s="4"/>
      <c r="D958" s="4"/>
      <c r="E958" s="4"/>
      <c r="F958" s="4"/>
      <c r="G958" s="4"/>
      <c r="H958" s="6"/>
      <c r="I958" s="6"/>
      <c r="J958" s="6"/>
      <c r="K958" s="6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4"/>
      <c r="C959" s="4"/>
      <c r="D959" s="4"/>
      <c r="E959" s="4"/>
      <c r="F959" s="4"/>
      <c r="G959" s="4"/>
      <c r="H959" s="6"/>
      <c r="I959" s="6"/>
      <c r="J959" s="6"/>
      <c r="K959" s="6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4"/>
      <c r="C960" s="4"/>
      <c r="D960" s="4"/>
      <c r="E960" s="4"/>
      <c r="F960" s="4"/>
      <c r="G960" s="4"/>
      <c r="H960" s="6"/>
      <c r="I960" s="6"/>
      <c r="J960" s="6"/>
      <c r="K960" s="6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4"/>
      <c r="C961" s="4"/>
      <c r="D961" s="4"/>
      <c r="E961" s="4"/>
      <c r="F961" s="4"/>
      <c r="G961" s="4"/>
      <c r="H961" s="6"/>
      <c r="I961" s="6"/>
      <c r="J961" s="6"/>
      <c r="K961" s="6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4"/>
      <c r="C962" s="4"/>
      <c r="D962" s="4"/>
      <c r="E962" s="4"/>
      <c r="F962" s="4"/>
      <c r="G962" s="4"/>
      <c r="H962" s="6"/>
      <c r="I962" s="6"/>
      <c r="J962" s="6"/>
      <c r="K962" s="6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4"/>
      <c r="C963" s="4"/>
      <c r="D963" s="4"/>
      <c r="E963" s="4"/>
      <c r="F963" s="4"/>
      <c r="G963" s="4"/>
      <c r="H963" s="6"/>
      <c r="I963" s="6"/>
      <c r="J963" s="6"/>
      <c r="K963" s="6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4"/>
      <c r="C964" s="4"/>
      <c r="D964" s="4"/>
      <c r="E964" s="4"/>
      <c r="F964" s="4"/>
      <c r="G964" s="4"/>
      <c r="H964" s="6"/>
      <c r="I964" s="6"/>
      <c r="J964" s="6"/>
      <c r="K964" s="6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4"/>
      <c r="C965" s="4"/>
      <c r="D965" s="4"/>
      <c r="E965" s="4"/>
      <c r="F965" s="4"/>
      <c r="G965" s="4"/>
      <c r="H965" s="6"/>
      <c r="I965" s="6"/>
      <c r="J965" s="6"/>
      <c r="K965" s="6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4"/>
      <c r="C966" s="4"/>
      <c r="D966" s="4"/>
      <c r="E966" s="4"/>
      <c r="F966" s="4"/>
      <c r="G966" s="4"/>
      <c r="H966" s="6"/>
      <c r="I966" s="6"/>
      <c r="J966" s="6"/>
      <c r="K966" s="6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4"/>
      <c r="C967" s="4"/>
      <c r="D967" s="4"/>
      <c r="E967" s="4"/>
      <c r="F967" s="4"/>
      <c r="G967" s="4"/>
      <c r="H967" s="6"/>
      <c r="I967" s="6"/>
      <c r="J967" s="6"/>
      <c r="K967" s="6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4"/>
      <c r="C968" s="4"/>
      <c r="D968" s="4"/>
      <c r="E968" s="4"/>
      <c r="F968" s="4"/>
      <c r="G968" s="4"/>
      <c r="H968" s="6"/>
      <c r="I968" s="6"/>
      <c r="J968" s="6"/>
      <c r="K968" s="6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4"/>
      <c r="C969" s="4"/>
      <c r="D969" s="4"/>
      <c r="E969" s="4"/>
      <c r="F969" s="4"/>
      <c r="G969" s="4"/>
      <c r="H969" s="6"/>
      <c r="I969" s="6"/>
      <c r="J969" s="6"/>
      <c r="K969" s="6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4"/>
      <c r="C970" s="4"/>
      <c r="D970" s="4"/>
      <c r="E970" s="4"/>
      <c r="F970" s="4"/>
      <c r="G970" s="4"/>
      <c r="H970" s="6"/>
      <c r="I970" s="6"/>
      <c r="J970" s="6"/>
      <c r="K970" s="6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4"/>
      <c r="C971" s="4"/>
      <c r="D971" s="4"/>
      <c r="E971" s="4"/>
      <c r="F971" s="4"/>
      <c r="G971" s="4"/>
      <c r="H971" s="6"/>
      <c r="I971" s="6"/>
      <c r="J971" s="6"/>
      <c r="K971" s="6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4"/>
      <c r="C972" s="4"/>
      <c r="D972" s="4"/>
      <c r="E972" s="4"/>
      <c r="F972" s="4"/>
      <c r="G972" s="4"/>
      <c r="H972" s="6"/>
      <c r="I972" s="6"/>
      <c r="J972" s="6"/>
      <c r="K972" s="6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4"/>
      <c r="C973" s="4"/>
      <c r="D973" s="4"/>
      <c r="E973" s="4"/>
      <c r="F973" s="4"/>
      <c r="G973" s="4"/>
      <c r="H973" s="6"/>
      <c r="I973" s="6"/>
      <c r="J973" s="6"/>
      <c r="K973" s="6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4"/>
      <c r="C974" s="4"/>
      <c r="D974" s="4"/>
      <c r="E974" s="4"/>
      <c r="F974" s="4"/>
      <c r="G974" s="4"/>
      <c r="H974" s="6"/>
      <c r="I974" s="6"/>
      <c r="J974" s="6"/>
      <c r="K974" s="6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4"/>
      <c r="C975" s="4"/>
      <c r="D975" s="4"/>
      <c r="E975" s="4"/>
      <c r="F975" s="4"/>
      <c r="G975" s="4"/>
      <c r="H975" s="6"/>
      <c r="I975" s="6"/>
      <c r="J975" s="6"/>
      <c r="K975" s="6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4"/>
      <c r="C976" s="4"/>
      <c r="D976" s="4"/>
      <c r="E976" s="4"/>
      <c r="F976" s="4"/>
      <c r="G976" s="4"/>
      <c r="H976" s="6"/>
      <c r="I976" s="6"/>
      <c r="J976" s="6"/>
      <c r="K976" s="6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4"/>
      <c r="C977" s="4"/>
      <c r="D977" s="4"/>
      <c r="E977" s="4"/>
      <c r="F977" s="4"/>
      <c r="G977" s="4"/>
      <c r="H977" s="6"/>
      <c r="I977" s="6"/>
      <c r="J977" s="6"/>
      <c r="K977" s="6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4"/>
      <c r="C978" s="4"/>
      <c r="D978" s="4"/>
      <c r="E978" s="4"/>
      <c r="F978" s="4"/>
      <c r="G978" s="4"/>
      <c r="H978" s="6"/>
      <c r="I978" s="6"/>
      <c r="J978" s="6"/>
      <c r="K978" s="6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4"/>
      <c r="C979" s="4"/>
      <c r="D979" s="4"/>
      <c r="E979" s="4"/>
      <c r="F979" s="4"/>
      <c r="G979" s="4"/>
      <c r="H979" s="6"/>
      <c r="I979" s="6"/>
      <c r="J979" s="6"/>
      <c r="K979" s="6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4"/>
      <c r="C980" s="4"/>
      <c r="D980" s="4"/>
      <c r="E980" s="4"/>
      <c r="F980" s="4"/>
      <c r="G980" s="4"/>
      <c r="H980" s="6"/>
      <c r="I980" s="6"/>
      <c r="J980" s="6"/>
      <c r="K980" s="6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4"/>
      <c r="C981" s="4"/>
      <c r="D981" s="4"/>
      <c r="E981" s="4"/>
      <c r="F981" s="4"/>
      <c r="G981" s="4"/>
      <c r="H981" s="6"/>
      <c r="I981" s="6"/>
      <c r="J981" s="6"/>
      <c r="K981" s="6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4"/>
      <c r="C982" s="4"/>
      <c r="D982" s="4"/>
      <c r="E982" s="4"/>
      <c r="F982" s="4"/>
      <c r="G982" s="4"/>
      <c r="H982" s="6"/>
      <c r="I982" s="6"/>
      <c r="J982" s="6"/>
      <c r="K982" s="6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4"/>
      <c r="C983" s="4"/>
      <c r="D983" s="4"/>
      <c r="E983" s="4"/>
      <c r="F983" s="4"/>
      <c r="G983" s="4"/>
      <c r="H983" s="6"/>
      <c r="I983" s="6"/>
      <c r="J983" s="6"/>
      <c r="K983" s="6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4"/>
      <c r="C984" s="4"/>
      <c r="D984" s="4"/>
      <c r="E984" s="4"/>
      <c r="F984" s="4"/>
      <c r="G984" s="4"/>
      <c r="H984" s="6"/>
      <c r="I984" s="6"/>
      <c r="J984" s="6"/>
      <c r="K984" s="6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4"/>
      <c r="C985" s="4"/>
      <c r="D985" s="4"/>
      <c r="E985" s="4"/>
      <c r="F985" s="4"/>
      <c r="G985" s="4"/>
      <c r="H985" s="6"/>
      <c r="I985" s="6"/>
      <c r="J985" s="6"/>
      <c r="K985" s="6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4"/>
      <c r="C986" s="4"/>
      <c r="D986" s="4"/>
      <c r="E986" s="4"/>
      <c r="F986" s="4"/>
      <c r="G986" s="4"/>
      <c r="H986" s="6"/>
      <c r="I986" s="6"/>
      <c r="J986" s="6"/>
      <c r="K986" s="6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4"/>
      <c r="C987" s="4"/>
      <c r="D987" s="4"/>
      <c r="E987" s="4"/>
      <c r="F987" s="4"/>
      <c r="G987" s="4"/>
      <c r="H987" s="6"/>
      <c r="I987" s="6"/>
      <c r="J987" s="6"/>
      <c r="K987" s="6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4"/>
      <c r="C988" s="4"/>
      <c r="D988" s="4"/>
      <c r="E988" s="4"/>
      <c r="F988" s="4"/>
      <c r="G988" s="4"/>
      <c r="H988" s="6"/>
      <c r="I988" s="6"/>
      <c r="J988" s="6"/>
      <c r="K988" s="6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4"/>
      <c r="C989" s="4"/>
      <c r="D989" s="4"/>
      <c r="E989" s="4"/>
      <c r="F989" s="4"/>
      <c r="G989" s="4"/>
      <c r="H989" s="6"/>
      <c r="I989" s="6"/>
      <c r="J989" s="6"/>
      <c r="K989" s="6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4"/>
      <c r="C990" s="4"/>
      <c r="D990" s="4"/>
      <c r="E990" s="4"/>
      <c r="F990" s="4"/>
      <c r="G990" s="4"/>
      <c r="H990" s="6"/>
      <c r="I990" s="6"/>
      <c r="J990" s="6"/>
      <c r="K990" s="6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4"/>
      <c r="C991" s="4"/>
      <c r="D991" s="4"/>
      <c r="E991" s="4"/>
      <c r="F991" s="4"/>
      <c r="G991" s="4"/>
      <c r="H991" s="6"/>
      <c r="I991" s="6"/>
      <c r="J991" s="6"/>
      <c r="K991" s="6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4"/>
      <c r="C992" s="4"/>
      <c r="D992" s="4"/>
      <c r="E992" s="4"/>
      <c r="F992" s="4"/>
      <c r="G992" s="4"/>
      <c r="H992" s="6"/>
      <c r="I992" s="6"/>
      <c r="J992" s="6"/>
      <c r="K992" s="6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4"/>
      <c r="C993" s="4"/>
      <c r="D993" s="4"/>
      <c r="E993" s="4"/>
      <c r="F993" s="4"/>
      <c r="G993" s="4"/>
      <c r="H993" s="6"/>
      <c r="I993" s="6"/>
      <c r="J993" s="6"/>
      <c r="K993" s="6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4"/>
      <c r="C994" s="4"/>
      <c r="D994" s="4"/>
      <c r="E994" s="4"/>
      <c r="F994" s="4"/>
      <c r="G994" s="4"/>
      <c r="H994" s="6"/>
      <c r="I994" s="6"/>
      <c r="J994" s="6"/>
      <c r="K994" s="6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4"/>
      <c r="C995" s="4"/>
      <c r="D995" s="4"/>
      <c r="E995" s="4"/>
      <c r="F995" s="4"/>
      <c r="G995" s="4"/>
      <c r="H995" s="6"/>
      <c r="I995" s="6"/>
      <c r="J995" s="6"/>
      <c r="K995" s="6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4"/>
      <c r="C996" s="4"/>
      <c r="D996" s="4"/>
      <c r="E996" s="4"/>
      <c r="F996" s="4"/>
      <c r="G996" s="4"/>
      <c r="H996" s="6"/>
      <c r="I996" s="6"/>
      <c r="J996" s="6"/>
      <c r="K996" s="6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4"/>
      <c r="C997" s="4"/>
      <c r="D997" s="4"/>
      <c r="E997" s="4"/>
      <c r="F997" s="4"/>
      <c r="G997" s="4"/>
      <c r="H997" s="6"/>
      <c r="I997" s="6"/>
      <c r="J997" s="6"/>
      <c r="K997" s="6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4"/>
      <c r="C998" s="4"/>
      <c r="D998" s="4"/>
      <c r="E998" s="4"/>
      <c r="F998" s="4"/>
      <c r="G998" s="4"/>
      <c r="H998" s="6"/>
      <c r="I998" s="6"/>
      <c r="J998" s="6"/>
      <c r="K998" s="6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4"/>
      <c r="C999" s="4"/>
      <c r="D999" s="4"/>
      <c r="E999" s="4"/>
      <c r="F999" s="4"/>
      <c r="G999" s="4"/>
      <c r="H999" s="6"/>
      <c r="I999" s="6"/>
      <c r="J999" s="6"/>
      <c r="K999" s="6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4"/>
      <c r="C1000" s="4"/>
      <c r="D1000" s="4"/>
      <c r="E1000" s="4"/>
      <c r="F1000" s="4"/>
      <c r="G1000" s="4"/>
      <c r="H1000" s="6"/>
      <c r="I1000" s="6"/>
      <c r="J1000" s="6"/>
      <c r="K1000" s="6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Col="1"/>
  <cols>
    <col customWidth="1" min="2" max="2" width="13.38"/>
    <col customWidth="1" min="3" max="3" width="11.25"/>
    <col customWidth="1" min="4" max="4" width="9.38"/>
    <col customWidth="1" min="5" max="5" width="19.25"/>
    <col customWidth="1" min="6" max="6" width="9.13"/>
    <col customWidth="1" min="7" max="7" width="11.38"/>
    <col customWidth="1" min="8" max="8" width="16.75"/>
    <col customWidth="1" min="9" max="9" width="15.63"/>
    <col customWidth="1" min="10" max="10" width="12.88"/>
    <col customWidth="1" min="11" max="11" width="13.5"/>
  </cols>
  <sheetData>
    <row r="2">
      <c r="B2" s="14" t="s">
        <v>0</v>
      </c>
      <c r="C2" s="14" t="s">
        <v>1</v>
      </c>
      <c r="D2" s="14" t="s">
        <v>2</v>
      </c>
      <c r="E2" s="14" t="s">
        <v>3</v>
      </c>
      <c r="F2" s="17" t="s">
        <v>4</v>
      </c>
      <c r="G2" s="14" t="s">
        <v>5</v>
      </c>
      <c r="H2" s="20" t="s">
        <v>6</v>
      </c>
      <c r="I2" s="20" t="s">
        <v>7</v>
      </c>
      <c r="J2" s="20" t="s">
        <v>8</v>
      </c>
      <c r="K2" s="23" t="s">
        <v>9</v>
      </c>
    </row>
    <row r="3">
      <c r="B3" s="111">
        <f>IFERROR(__xludf.DUMMYFUNCTION("filter('Stage standings'!B3:K207,'Stage standings'!F3:F207=""Latvia"")"),2.0)</f>
        <v>2</v>
      </c>
      <c r="C3" s="111">
        <f>IFERROR(__xludf.DUMMYFUNCTION("""COMPUTED_VALUE"""),6.0)</f>
        <v>6</v>
      </c>
      <c r="D3" s="111">
        <f>IFERROR(__xludf.DUMMYFUNCTION("""COMPUTED_VALUE"""),41.0)</f>
        <v>41</v>
      </c>
      <c r="E3" s="111" t="str">
        <f>IFERROR(__xludf.DUMMYFUNCTION("""COMPUTED_VALUE"""),"Armands Vestmanis")</f>
        <v>Armands Vestmanis</v>
      </c>
      <c r="F3" s="111" t="str">
        <f>IFERROR(__xludf.DUMMYFUNCTION("""COMPUTED_VALUE"""),"Latvia")</f>
        <v>Latvia</v>
      </c>
      <c r="G3" s="111" t="str">
        <f>IFERROR(__xludf.DUMMYFUNCTION("""COMPUTED_VALUE"""),"BMW E36")</f>
        <v>BMW E36</v>
      </c>
      <c r="H3" s="112" t="str">
        <f>IFERROR(__xludf.DUMMYFUNCTION("""COMPUTED_VALUE"""),"RTRiga")</f>
        <v>RTRiga</v>
      </c>
      <c r="I3" s="112">
        <f>IFERROR(__xludf.DUMMYFUNCTION("""COMPUTED_VALUE"""),88.0)</f>
        <v>88</v>
      </c>
      <c r="J3" s="112">
        <f>IFERROR(__xludf.DUMMYFUNCTION("""COMPUTED_VALUE"""),4.0)</f>
        <v>4</v>
      </c>
      <c r="K3" s="112">
        <f>IFERROR(__xludf.DUMMYFUNCTION("""COMPUTED_VALUE"""),92.0)</f>
        <v>92</v>
      </c>
    </row>
    <row r="4">
      <c r="B4" s="111">
        <f>IFERROR(__xludf.DUMMYFUNCTION("""COMPUTED_VALUE"""),11.0)</f>
        <v>11</v>
      </c>
      <c r="C4" s="111">
        <f>IFERROR(__xludf.DUMMYFUNCTION("""COMPUTED_VALUE"""),9.0)</f>
        <v>9</v>
      </c>
      <c r="D4" s="111">
        <f>IFERROR(__xludf.DUMMYFUNCTION("""COMPUTED_VALUE"""),18.0)</f>
        <v>18</v>
      </c>
      <c r="E4" s="111" t="str">
        <f>IFERROR(__xludf.DUMMYFUNCTION("""COMPUTED_VALUE"""),"Matīss Lācis")</f>
        <v>Matīss Lācis</v>
      </c>
      <c r="F4" s="111" t="str">
        <f>IFERROR(__xludf.DUMMYFUNCTION("""COMPUTED_VALUE"""),"Latvia")</f>
        <v>Latvia</v>
      </c>
      <c r="G4" s="111" t="str">
        <f>IFERROR(__xludf.DUMMYFUNCTION("""COMPUTED_VALUE"""),"BMW E46")</f>
        <v>BMW E46</v>
      </c>
      <c r="H4" s="112" t="str">
        <f>IFERROR(__xludf.DUMMYFUNCTION("""COMPUTED_VALUE"""),"RTRiga")</f>
        <v>RTRiga</v>
      </c>
      <c r="I4" s="112">
        <f>IFERROR(__xludf.DUMMYFUNCTION("""COMPUTED_VALUE"""),54.0)</f>
        <v>54</v>
      </c>
      <c r="J4" s="112">
        <f>IFERROR(__xludf.DUMMYFUNCTION("""COMPUTED_VALUE"""),2.0)</f>
        <v>2</v>
      </c>
      <c r="K4" s="112">
        <f>IFERROR(__xludf.DUMMYFUNCTION("""COMPUTED_VALUE"""),56.0)</f>
        <v>56</v>
      </c>
    </row>
    <row r="5">
      <c r="B5" s="111">
        <f>IFERROR(__xludf.DUMMYFUNCTION("""COMPUTED_VALUE"""),22.0)</f>
        <v>22</v>
      </c>
      <c r="C5" s="111">
        <f>IFERROR(__xludf.DUMMYFUNCTION("""COMPUTED_VALUE"""),17.0)</f>
        <v>17</v>
      </c>
      <c r="D5" s="111">
        <f>IFERROR(__xludf.DUMMYFUNCTION("""COMPUTED_VALUE"""),666.0)</f>
        <v>666</v>
      </c>
      <c r="E5" s="111" t="str">
        <f>IFERROR(__xludf.DUMMYFUNCTION("""COMPUTED_VALUE"""),"Ritums Jēkabsons")</f>
        <v>Ritums Jēkabsons</v>
      </c>
      <c r="F5" s="111" t="str">
        <f>IFERROR(__xludf.DUMMYFUNCTION("""COMPUTED_VALUE"""),"Latvia")</f>
        <v>Latvia</v>
      </c>
      <c r="G5" s="111" t="str">
        <f>IFERROR(__xludf.DUMMYFUNCTION("""COMPUTED_VALUE"""),"BMW E36")</f>
        <v>BMW E36</v>
      </c>
      <c r="H5" s="112" t="str">
        <f>IFERROR(__xludf.DUMMYFUNCTION("""COMPUTED_VALUE"""),"Drifta halle")</f>
        <v>Drifta halle</v>
      </c>
      <c r="I5" s="112">
        <f>IFERROR(__xludf.DUMMYFUNCTION("""COMPUTED_VALUE"""),24.0)</f>
        <v>24</v>
      </c>
      <c r="J5" s="112">
        <f>IFERROR(__xludf.DUMMYFUNCTION("""COMPUTED_VALUE"""),0.5)</f>
        <v>0.5</v>
      </c>
      <c r="K5" s="112">
        <f>IFERROR(__xludf.DUMMYFUNCTION("""COMPUTED_VALUE"""),24.5)</f>
        <v>24.5</v>
      </c>
    </row>
    <row r="6">
      <c r="B6" s="111">
        <f>IFERROR(__xludf.DUMMYFUNCTION("""COMPUTED_VALUE"""),33.0)</f>
        <v>33</v>
      </c>
      <c r="C6" s="111">
        <f>IFERROR(__xludf.DUMMYFUNCTION("""COMPUTED_VALUE"""),33.0)</f>
        <v>33</v>
      </c>
      <c r="D6" s="111">
        <f>IFERROR(__xludf.DUMMYFUNCTION("""COMPUTED_VALUE"""),469.0)</f>
        <v>469</v>
      </c>
      <c r="E6" s="111" t="str">
        <f>IFERROR(__xludf.DUMMYFUNCTION("""COMPUTED_VALUE"""),"Elgars Bambāns")</f>
        <v>Elgars Bambāns</v>
      </c>
      <c r="F6" s="111" t="str">
        <f>IFERROR(__xludf.DUMMYFUNCTION("""COMPUTED_VALUE"""),"Latvia")</f>
        <v>Latvia</v>
      </c>
      <c r="G6" s="111" t="str">
        <f>IFERROR(__xludf.DUMMYFUNCTION("""COMPUTED_VALUE"""),"BMW E46")</f>
        <v>BMW E46</v>
      </c>
      <c r="H6" s="112" t="str">
        <f>IFERROR(__xludf.DUMMYFUNCTION("""COMPUTED_VALUE"""),"Moist Drift Design")</f>
        <v>Moist Drift Design</v>
      </c>
      <c r="I6" s="112">
        <f>IFERROR(__xludf.DUMMYFUNCTION("""COMPUTED_VALUE"""),10.0)</f>
        <v>10</v>
      </c>
      <c r="J6" s="112">
        <f>IFERROR(__xludf.DUMMYFUNCTION("""COMPUTED_VALUE"""),0.1)</f>
        <v>0.1</v>
      </c>
      <c r="K6" s="112">
        <f>IFERROR(__xludf.DUMMYFUNCTION("""COMPUTED_VALUE"""),10.1)</f>
        <v>10.1</v>
      </c>
    </row>
    <row r="7">
      <c r="B7" s="111">
        <f>IFERROR(__xludf.DUMMYFUNCTION("""COMPUTED_VALUE"""),34.0)</f>
        <v>34</v>
      </c>
      <c r="C7" s="111">
        <f>IFERROR(__xludf.DUMMYFUNCTION("""COMPUTED_VALUE"""),34.0)</f>
        <v>34</v>
      </c>
      <c r="D7" s="111">
        <f>IFERROR(__xludf.DUMMYFUNCTION("""COMPUTED_VALUE"""),420.0)</f>
        <v>420</v>
      </c>
      <c r="E7" s="111" t="str">
        <f>IFERROR(__xludf.DUMMYFUNCTION("""COMPUTED_VALUE"""),"Eduards Rēdmanis")</f>
        <v>Eduards Rēdmanis</v>
      </c>
      <c r="F7" s="111" t="str">
        <f>IFERROR(__xludf.DUMMYFUNCTION("""COMPUTED_VALUE"""),"Latvia")</f>
        <v>Latvia</v>
      </c>
      <c r="G7" s="111" t="str">
        <f>IFERROR(__xludf.DUMMYFUNCTION("""COMPUTED_VALUE"""),"BMW E46")</f>
        <v>BMW E46</v>
      </c>
      <c r="H7" s="112" t="str">
        <f>IFERROR(__xludf.DUMMYFUNCTION("""COMPUTED_VALUE"""),"RTRiga")</f>
        <v>RTRiga</v>
      </c>
      <c r="I7" s="112">
        <f>IFERROR(__xludf.DUMMYFUNCTION("""COMPUTED_VALUE"""),10.0)</f>
        <v>10</v>
      </c>
      <c r="J7" s="112">
        <f>IFERROR(__xludf.DUMMYFUNCTION("""COMPUTED_VALUE"""),0.1)</f>
        <v>0.1</v>
      </c>
      <c r="K7" s="112">
        <f>IFERROR(__xludf.DUMMYFUNCTION("""COMPUTED_VALUE"""),10.1)</f>
        <v>10.1</v>
      </c>
    </row>
    <row r="8">
      <c r="B8" s="111">
        <f>IFERROR(__xludf.DUMMYFUNCTION("""COMPUTED_VALUE"""),40.0)</f>
        <v>40</v>
      </c>
      <c r="C8" s="111">
        <f>IFERROR(__xludf.DUMMYFUNCTION("""COMPUTED_VALUE"""),40.0)</f>
        <v>40</v>
      </c>
      <c r="D8" s="111">
        <f>IFERROR(__xludf.DUMMYFUNCTION("""COMPUTED_VALUE"""),5.0)</f>
        <v>5</v>
      </c>
      <c r="E8" s="111" t="str">
        <f>IFERROR(__xludf.DUMMYFUNCTION("""COMPUTED_VALUE"""),"Kristiāns Austriņš")</f>
        <v>Kristiāns Austriņš</v>
      </c>
      <c r="F8" s="111" t="str">
        <f>IFERROR(__xludf.DUMMYFUNCTION("""COMPUTED_VALUE"""),"Latvia")</f>
        <v>Latvia</v>
      </c>
      <c r="G8" s="111" t="str">
        <f>IFERROR(__xludf.DUMMYFUNCTION("""COMPUTED_VALUE"""),"BMW E36")</f>
        <v>BMW E36</v>
      </c>
      <c r="H8" s="112"/>
      <c r="I8" s="112">
        <f>IFERROR(__xludf.DUMMYFUNCTION("""COMPUTED_VALUE"""),10.0)</f>
        <v>10</v>
      </c>
      <c r="J8" s="112">
        <f>IFERROR(__xludf.DUMMYFUNCTION("""COMPUTED_VALUE"""),0.1)</f>
        <v>0.1</v>
      </c>
      <c r="K8" s="112">
        <f>IFERROR(__xludf.DUMMYFUNCTION("""COMPUTED_VALUE"""),10.1)</f>
        <v>10.1</v>
      </c>
    </row>
    <row r="9">
      <c r="B9" s="111">
        <f>IFERROR(__xludf.DUMMYFUNCTION("""COMPUTED_VALUE"""),41.0)</f>
        <v>41</v>
      </c>
      <c r="C9" s="111">
        <f>IFERROR(__xludf.DUMMYFUNCTION("""COMPUTED_VALUE"""),41.0)</f>
        <v>41</v>
      </c>
      <c r="D9" s="111">
        <f>IFERROR(__xludf.DUMMYFUNCTION("""COMPUTED_VALUE"""),37.0)</f>
        <v>37</v>
      </c>
      <c r="E9" s="111" t="str">
        <f>IFERROR(__xludf.DUMMYFUNCTION("""COMPUTED_VALUE"""),"Markuss Milns")</f>
        <v>Markuss Milns</v>
      </c>
      <c r="F9" s="111" t="str">
        <f>IFERROR(__xludf.DUMMYFUNCTION("""COMPUTED_VALUE"""),"Latvia")</f>
        <v>Latvia</v>
      </c>
      <c r="G9" s="111" t="str">
        <f>IFERROR(__xludf.DUMMYFUNCTION("""COMPUTED_VALUE"""),"BMW E36")</f>
        <v>BMW E36</v>
      </c>
      <c r="H9" s="112" t="str">
        <f>IFERROR(__xludf.DUMMYFUNCTION("""COMPUTED_VALUE"""),"Drifta Halle")</f>
        <v>Drifta Halle</v>
      </c>
      <c r="I9" s="112">
        <f>IFERROR(__xludf.DUMMYFUNCTION("""COMPUTED_VALUE"""),10.0)</f>
        <v>10</v>
      </c>
      <c r="J9" s="112">
        <f>IFERROR(__xludf.DUMMYFUNCTION("""COMPUTED_VALUE"""),0.1)</f>
        <v>0.1</v>
      </c>
      <c r="K9" s="112">
        <f>IFERROR(__xludf.DUMMYFUNCTION("""COMPUTED_VALUE"""),10.1)</f>
        <v>10.1</v>
      </c>
    </row>
    <row r="10">
      <c r="B10" s="111">
        <f>IFERROR(__xludf.DUMMYFUNCTION("""COMPUTED_VALUE"""),43.0)</f>
        <v>43</v>
      </c>
      <c r="C10" s="111">
        <f>IFERROR(__xludf.DUMMYFUNCTION("""COMPUTED_VALUE"""),43.0)</f>
        <v>43</v>
      </c>
      <c r="D10" s="111">
        <f>IFERROR(__xludf.DUMMYFUNCTION("""COMPUTED_VALUE"""),8.0)</f>
        <v>8</v>
      </c>
      <c r="E10" s="111" t="str">
        <f>IFERROR(__xludf.DUMMYFUNCTION("""COMPUTED_VALUE"""),"Gundars Gūte")</f>
        <v>Gundars Gūte</v>
      </c>
      <c r="F10" s="111" t="str">
        <f>IFERROR(__xludf.DUMMYFUNCTION("""COMPUTED_VALUE"""),"Latvia")</f>
        <v>Latvia</v>
      </c>
      <c r="G10" s="111" t="str">
        <f>IFERROR(__xludf.DUMMYFUNCTION("""COMPUTED_VALUE"""),"BMW E46")</f>
        <v>BMW E46</v>
      </c>
      <c r="H10" s="112"/>
      <c r="I10" s="112">
        <f>IFERROR(__xludf.DUMMYFUNCTION("""COMPUTED_VALUE"""),10.0)</f>
        <v>10</v>
      </c>
      <c r="J10" s="112">
        <f>IFERROR(__xludf.DUMMYFUNCTION("""COMPUTED_VALUE"""),0.1)</f>
        <v>0.1</v>
      </c>
      <c r="K10" s="112">
        <f>IFERROR(__xludf.DUMMYFUNCTION("""COMPUTED_VALUE"""),10.1)</f>
        <v>10.1</v>
      </c>
    </row>
    <row r="11">
      <c r="B11" s="111">
        <f>IFERROR(__xludf.DUMMYFUNCTION("""COMPUTED_VALUE"""),44.0)</f>
        <v>44</v>
      </c>
      <c r="C11" s="111">
        <f>IFERROR(__xludf.DUMMYFUNCTION("""COMPUTED_VALUE"""),44.0)</f>
        <v>44</v>
      </c>
      <c r="D11" s="111">
        <f>IFERROR(__xludf.DUMMYFUNCTION("""COMPUTED_VALUE"""),24.0)</f>
        <v>24</v>
      </c>
      <c r="E11" s="111" t="str">
        <f>IFERROR(__xludf.DUMMYFUNCTION("""COMPUTED_VALUE"""),"Dāvis Rastoks")</f>
        <v>Dāvis Rastoks</v>
      </c>
      <c r="F11" s="111" t="str">
        <f>IFERROR(__xludf.DUMMYFUNCTION("""COMPUTED_VALUE"""),"Latvia")</f>
        <v>Latvia</v>
      </c>
      <c r="G11" s="111" t="str">
        <f>IFERROR(__xludf.DUMMYFUNCTION("""COMPUTED_VALUE"""),"BMW E36")</f>
        <v>BMW E36</v>
      </c>
      <c r="H11" s="112"/>
      <c r="I11" s="112">
        <f>IFERROR(__xludf.DUMMYFUNCTION("""COMPUTED_VALUE"""),10.0)</f>
        <v>10</v>
      </c>
      <c r="J11" s="112">
        <f>IFERROR(__xludf.DUMMYFUNCTION("""COMPUTED_VALUE"""),0.1)</f>
        <v>0.1</v>
      </c>
      <c r="K11" s="112">
        <f>IFERROR(__xludf.DUMMYFUNCTION("""COMPUTED_VALUE"""),10.1)</f>
        <v>10.1</v>
      </c>
    </row>
    <row r="12">
      <c r="B12" s="111">
        <f>IFERROR(__xludf.DUMMYFUNCTION("""COMPUTED_VALUE"""),47.0)</f>
        <v>47</v>
      </c>
      <c r="C12" s="111">
        <f>IFERROR(__xludf.DUMMYFUNCTION("""COMPUTED_VALUE"""),47.0)</f>
        <v>47</v>
      </c>
      <c r="D12" s="111">
        <f>IFERROR(__xludf.DUMMYFUNCTION("""COMPUTED_VALUE"""),369.0)</f>
        <v>369</v>
      </c>
      <c r="E12" s="111" t="str">
        <f>IFERROR(__xludf.DUMMYFUNCTION("""COMPUTED_VALUE"""),"Aivis Bambāns")</f>
        <v>Aivis Bambāns</v>
      </c>
      <c r="F12" s="111" t="str">
        <f>IFERROR(__xludf.DUMMYFUNCTION("""COMPUTED_VALUE"""),"Latvia")</f>
        <v>Latvia</v>
      </c>
      <c r="G12" s="111" t="str">
        <f>IFERROR(__xludf.DUMMYFUNCTION("""COMPUTED_VALUE"""),"BMW E46")</f>
        <v>BMW E46</v>
      </c>
      <c r="H12" s="112" t="str">
        <f>IFERROR(__xludf.DUMMYFUNCTION("""COMPUTED_VALUE"""),"Moist Drift Design")</f>
        <v>Moist Drift Design</v>
      </c>
      <c r="I12" s="112">
        <f>IFERROR(__xludf.DUMMYFUNCTION("""COMPUTED_VALUE"""),10.0)</f>
        <v>10</v>
      </c>
      <c r="J12" s="112">
        <f>IFERROR(__xludf.DUMMYFUNCTION("""COMPUTED_VALUE"""),0.1)</f>
        <v>0.1</v>
      </c>
      <c r="K12" s="112">
        <f>IFERROR(__xludf.DUMMYFUNCTION("""COMPUTED_VALUE"""),10.1)</f>
        <v>10.1</v>
      </c>
    </row>
    <row r="13"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>
      <c r="B14" s="111"/>
      <c r="C14" s="111"/>
      <c r="D14" s="111"/>
      <c r="E14" s="111"/>
      <c r="F14" s="111"/>
      <c r="G14" s="111"/>
      <c r="H14" s="111"/>
      <c r="I14" s="111"/>
      <c r="J14" s="111"/>
      <c r="K14" s="111"/>
    </row>
    <row r="15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>
      <c r="B16" s="111"/>
      <c r="C16" s="111"/>
      <c r="D16" s="111"/>
      <c r="E16" s="111"/>
      <c r="F16" s="111"/>
      <c r="G16" s="111"/>
      <c r="H16" s="111"/>
      <c r="I16" s="111"/>
      <c r="J16" s="111"/>
      <c r="K16" s="111"/>
    </row>
    <row r="17">
      <c r="B17" s="111"/>
      <c r="C17" s="111"/>
      <c r="D17" s="111"/>
      <c r="E17" s="111"/>
      <c r="F17" s="111"/>
      <c r="G17" s="111"/>
      <c r="H17" s="111"/>
      <c r="I17" s="111"/>
      <c r="J17" s="111"/>
      <c r="K17" s="111"/>
    </row>
    <row r="18">
      <c r="B18" s="111"/>
      <c r="C18" s="111"/>
      <c r="D18" s="111"/>
      <c r="E18" s="111"/>
      <c r="F18" s="111"/>
      <c r="G18" s="111"/>
      <c r="H18" s="111"/>
      <c r="I18" s="111"/>
      <c r="J18" s="111"/>
      <c r="K18" s="111"/>
    </row>
    <row r="19">
      <c r="B19" s="111"/>
      <c r="C19" s="111"/>
      <c r="D19" s="111"/>
      <c r="E19" s="111"/>
      <c r="F19" s="111"/>
      <c r="G19" s="111"/>
      <c r="H19" s="111"/>
      <c r="I19" s="111"/>
      <c r="J19" s="111"/>
      <c r="K19" s="111"/>
    </row>
    <row r="20">
      <c r="B20" s="111"/>
      <c r="C20" s="111"/>
      <c r="D20" s="111"/>
      <c r="E20" s="111"/>
      <c r="F20" s="111"/>
      <c r="G20" s="111"/>
      <c r="H20" s="111"/>
      <c r="I20" s="111"/>
      <c r="J20" s="111"/>
      <c r="K20" s="111"/>
    </row>
    <row r="21">
      <c r="B21" s="111"/>
      <c r="C21" s="111"/>
      <c r="D21" s="111"/>
      <c r="E21" s="111"/>
      <c r="F21" s="111"/>
      <c r="G21" s="111"/>
      <c r="H21" s="111"/>
      <c r="I21" s="111"/>
      <c r="J21" s="111"/>
      <c r="K21" s="111"/>
    </row>
    <row r="22">
      <c r="B22" s="111"/>
      <c r="C22" s="111"/>
      <c r="D22" s="111"/>
      <c r="E22" s="111"/>
      <c r="F22" s="111"/>
      <c r="G22" s="111"/>
      <c r="H22" s="111"/>
      <c r="I22" s="111"/>
      <c r="J22" s="111"/>
      <c r="K22" s="111"/>
    </row>
    <row r="23">
      <c r="B23" s="111"/>
      <c r="C23" s="111"/>
      <c r="D23" s="111"/>
      <c r="E23" s="111"/>
      <c r="F23" s="111"/>
      <c r="G23" s="111"/>
      <c r="H23" s="111"/>
      <c r="I23" s="111"/>
      <c r="J23" s="111"/>
      <c r="K23" s="111"/>
    </row>
    <row r="24">
      <c r="B24" s="111"/>
      <c r="C24" s="111"/>
      <c r="D24" s="111"/>
      <c r="E24" s="111"/>
      <c r="F24" s="111"/>
      <c r="G24" s="111"/>
      <c r="H24" s="111"/>
      <c r="I24" s="111"/>
      <c r="J24" s="111"/>
      <c r="K24" s="111"/>
    </row>
    <row r="25">
      <c r="B25" s="111"/>
      <c r="C25" s="111"/>
      <c r="D25" s="111"/>
      <c r="E25" s="111"/>
      <c r="F25" s="111"/>
      <c r="G25" s="111"/>
      <c r="H25" s="111"/>
      <c r="I25" s="111"/>
      <c r="J25" s="111"/>
      <c r="K25" s="111"/>
    </row>
    <row r="26">
      <c r="B26" s="111"/>
      <c r="C26" s="111"/>
      <c r="D26" s="111"/>
      <c r="E26" s="111"/>
      <c r="F26" s="111"/>
      <c r="G26" s="111"/>
      <c r="H26" s="111"/>
      <c r="I26" s="111"/>
      <c r="J26" s="111"/>
      <c r="K26" s="111"/>
    </row>
    <row r="27">
      <c r="B27" s="111"/>
      <c r="C27" s="111"/>
      <c r="D27" s="111"/>
      <c r="E27" s="111"/>
      <c r="F27" s="111"/>
      <c r="G27" s="111"/>
      <c r="H27" s="111"/>
      <c r="I27" s="111"/>
      <c r="J27" s="111"/>
      <c r="K27" s="111"/>
    </row>
    <row r="28">
      <c r="B28" s="111"/>
      <c r="C28" s="111"/>
      <c r="D28" s="111"/>
      <c r="E28" s="111"/>
      <c r="F28" s="111"/>
      <c r="G28" s="111"/>
      <c r="H28" s="111"/>
      <c r="I28" s="111"/>
      <c r="J28" s="111"/>
      <c r="K28" s="111"/>
    </row>
    <row r="29">
      <c r="B29" s="111"/>
      <c r="C29" s="111"/>
      <c r="D29" s="111"/>
      <c r="E29" s="111"/>
      <c r="F29" s="111"/>
      <c r="G29" s="111"/>
      <c r="H29" s="111"/>
      <c r="I29" s="111"/>
      <c r="J29" s="111"/>
      <c r="K29" s="111"/>
    </row>
    <row r="30">
      <c r="B30" s="111"/>
      <c r="C30" s="111"/>
      <c r="D30" s="111"/>
      <c r="E30" s="111"/>
      <c r="F30" s="111"/>
      <c r="G30" s="111"/>
      <c r="H30" s="111"/>
      <c r="I30" s="111"/>
      <c r="J30" s="111"/>
      <c r="K30" s="111"/>
    </row>
    <row r="31">
      <c r="B31" s="111"/>
      <c r="C31" s="111"/>
      <c r="D31" s="111"/>
      <c r="E31" s="111"/>
      <c r="F31" s="111"/>
      <c r="G31" s="111"/>
      <c r="H31" s="111"/>
      <c r="I31" s="111"/>
      <c r="J31" s="111"/>
      <c r="K31" s="111"/>
    </row>
    <row r="32">
      <c r="B32" s="111"/>
      <c r="C32" s="111"/>
      <c r="D32" s="111"/>
      <c r="E32" s="111"/>
      <c r="F32" s="111"/>
      <c r="G32" s="111"/>
      <c r="H32" s="111"/>
      <c r="I32" s="111"/>
      <c r="J32" s="111"/>
      <c r="K32" s="111"/>
    </row>
    <row r="33">
      <c r="B33" s="111"/>
      <c r="C33" s="111"/>
      <c r="D33" s="111"/>
      <c r="E33" s="111"/>
      <c r="F33" s="111"/>
      <c r="G33" s="111"/>
      <c r="H33" s="111"/>
      <c r="I33" s="111"/>
      <c r="J33" s="111"/>
      <c r="K33" s="111"/>
    </row>
    <row r="34">
      <c r="B34" s="111"/>
      <c r="C34" s="111"/>
      <c r="D34" s="111"/>
      <c r="E34" s="111"/>
      <c r="F34" s="111"/>
      <c r="G34" s="111"/>
      <c r="H34" s="111"/>
      <c r="I34" s="111"/>
      <c r="J34" s="111"/>
      <c r="K34" s="111"/>
    </row>
    <row r="35">
      <c r="B35" s="111"/>
      <c r="C35" s="111"/>
      <c r="D35" s="111"/>
      <c r="E35" s="111"/>
      <c r="F35" s="111"/>
      <c r="G35" s="111"/>
      <c r="H35" s="111"/>
      <c r="I35" s="111"/>
      <c r="J35" s="111"/>
      <c r="K35" s="111"/>
    </row>
    <row r="36">
      <c r="B36" s="111"/>
      <c r="C36" s="111"/>
      <c r="D36" s="111"/>
      <c r="E36" s="111"/>
      <c r="F36" s="111"/>
      <c r="G36" s="111"/>
      <c r="H36" s="111"/>
      <c r="I36" s="111"/>
      <c r="J36" s="111"/>
      <c r="K36" s="111"/>
    </row>
    <row r="37">
      <c r="B37" s="111"/>
      <c r="C37" s="111"/>
      <c r="D37" s="111"/>
      <c r="E37" s="111"/>
      <c r="F37" s="111"/>
      <c r="G37" s="111"/>
      <c r="H37" s="111"/>
      <c r="I37" s="111"/>
      <c r="J37" s="111"/>
      <c r="K37" s="111"/>
    </row>
    <row r="38">
      <c r="B38" s="111"/>
      <c r="C38" s="111"/>
      <c r="D38" s="111"/>
      <c r="E38" s="111"/>
      <c r="F38" s="111"/>
      <c r="G38" s="111"/>
      <c r="H38" s="111"/>
      <c r="I38" s="111"/>
      <c r="J38" s="111"/>
      <c r="K38" s="111"/>
    </row>
    <row r="39">
      <c r="B39" s="111"/>
      <c r="C39" s="111"/>
      <c r="D39" s="111"/>
      <c r="E39" s="111"/>
      <c r="F39" s="111"/>
      <c r="G39" s="111"/>
      <c r="H39" s="111"/>
      <c r="I39" s="111"/>
      <c r="J39" s="111"/>
      <c r="K39" s="111"/>
    </row>
    <row r="40">
      <c r="B40" s="111"/>
      <c r="C40" s="111"/>
      <c r="D40" s="111"/>
      <c r="E40" s="111"/>
      <c r="F40" s="111"/>
      <c r="G40" s="111"/>
      <c r="H40" s="111"/>
      <c r="I40" s="111"/>
      <c r="J40" s="111"/>
      <c r="K40" s="111"/>
    </row>
    <row r="41">
      <c r="B41" s="111"/>
      <c r="C41" s="111"/>
      <c r="D41" s="111"/>
      <c r="E41" s="111"/>
      <c r="F41" s="111"/>
      <c r="G41" s="111"/>
      <c r="H41" s="111"/>
      <c r="I41" s="111"/>
      <c r="J41" s="111"/>
      <c r="K41" s="111"/>
    </row>
    <row r="42">
      <c r="B42" s="111"/>
      <c r="C42" s="111"/>
      <c r="D42" s="111"/>
      <c r="E42" s="111"/>
      <c r="F42" s="111"/>
      <c r="G42" s="111"/>
      <c r="H42" s="111"/>
      <c r="I42" s="111"/>
      <c r="J42" s="111"/>
      <c r="K42" s="111"/>
    </row>
    <row r="43">
      <c r="B43" s="111"/>
      <c r="C43" s="111"/>
      <c r="D43" s="111"/>
      <c r="E43" s="111"/>
      <c r="F43" s="111"/>
      <c r="G43" s="111"/>
      <c r="H43" s="111"/>
      <c r="I43" s="111"/>
      <c r="J43" s="111"/>
      <c r="K43" s="111"/>
    </row>
    <row r="44">
      <c r="B44" s="111"/>
      <c r="C44" s="111"/>
      <c r="D44" s="111"/>
      <c r="E44" s="111"/>
      <c r="F44" s="111"/>
      <c r="G44" s="111"/>
      <c r="H44" s="111"/>
      <c r="I44" s="111"/>
      <c r="J44" s="111"/>
      <c r="K44" s="111"/>
    </row>
    <row r="45">
      <c r="B45" s="111"/>
      <c r="C45" s="111"/>
      <c r="D45" s="111"/>
      <c r="E45" s="111"/>
      <c r="F45" s="111"/>
      <c r="G45" s="111"/>
      <c r="H45" s="111"/>
      <c r="I45" s="111"/>
      <c r="J45" s="111"/>
      <c r="K45" s="111"/>
    </row>
    <row r="46">
      <c r="B46" s="111"/>
      <c r="C46" s="111"/>
      <c r="D46" s="111"/>
      <c r="E46" s="111"/>
      <c r="F46" s="111"/>
      <c r="G46" s="111"/>
      <c r="H46" s="111"/>
      <c r="I46" s="111"/>
      <c r="J46" s="111"/>
      <c r="K46" s="111"/>
    </row>
    <row r="47">
      <c r="B47" s="111"/>
      <c r="C47" s="111"/>
      <c r="D47" s="111"/>
      <c r="E47" s="111"/>
      <c r="F47" s="111"/>
      <c r="G47" s="111"/>
      <c r="H47" s="111"/>
      <c r="I47" s="111"/>
      <c r="J47" s="111"/>
      <c r="K47" s="111"/>
    </row>
    <row r="48">
      <c r="B48" s="111"/>
      <c r="C48" s="111"/>
      <c r="D48" s="111"/>
      <c r="E48" s="111"/>
      <c r="F48" s="111"/>
      <c r="G48" s="111"/>
      <c r="H48" s="111"/>
      <c r="I48" s="111"/>
      <c r="J48" s="111"/>
      <c r="K48" s="111"/>
    </row>
    <row r="49">
      <c r="B49" s="111"/>
      <c r="C49" s="111"/>
      <c r="D49" s="111"/>
      <c r="E49" s="111"/>
      <c r="F49" s="111"/>
      <c r="G49" s="111"/>
      <c r="H49" s="111"/>
      <c r="I49" s="111"/>
      <c r="J49" s="111"/>
      <c r="K49" s="111"/>
    </row>
    <row r="50">
      <c r="B50" s="111"/>
      <c r="C50" s="111"/>
      <c r="D50" s="111"/>
      <c r="E50" s="111"/>
      <c r="F50" s="111"/>
      <c r="G50" s="111"/>
      <c r="H50" s="111"/>
      <c r="I50" s="111"/>
      <c r="J50" s="111"/>
      <c r="K50" s="111"/>
    </row>
    <row r="51">
      <c r="B51" s="111"/>
      <c r="C51" s="111"/>
      <c r="D51" s="111"/>
      <c r="E51" s="111"/>
      <c r="F51" s="111"/>
      <c r="G51" s="111"/>
      <c r="H51" s="111"/>
      <c r="I51" s="111"/>
      <c r="J51" s="111"/>
      <c r="K51" s="111"/>
    </row>
    <row r="52">
      <c r="B52" s="111"/>
      <c r="C52" s="111"/>
      <c r="D52" s="111"/>
      <c r="E52" s="111"/>
      <c r="F52" s="111"/>
      <c r="G52" s="111"/>
      <c r="H52" s="111"/>
      <c r="I52" s="111"/>
      <c r="J52" s="111"/>
      <c r="K52" s="111"/>
    </row>
    <row r="53">
      <c r="B53" s="111"/>
      <c r="C53" s="111"/>
      <c r="D53" s="111"/>
      <c r="E53" s="111"/>
      <c r="F53" s="111"/>
      <c r="G53" s="111"/>
      <c r="H53" s="111"/>
      <c r="I53" s="111"/>
      <c r="J53" s="111"/>
      <c r="K53" s="111"/>
    </row>
    <row r="54">
      <c r="B54" s="111"/>
      <c r="C54" s="111"/>
      <c r="D54" s="111"/>
      <c r="E54" s="111"/>
      <c r="F54" s="111"/>
      <c r="G54" s="111"/>
      <c r="H54" s="111"/>
      <c r="I54" s="111"/>
      <c r="J54" s="111"/>
      <c r="K54" s="111"/>
    </row>
    <row r="55">
      <c r="B55" s="111"/>
      <c r="C55" s="111"/>
      <c r="D55" s="111"/>
      <c r="E55" s="111"/>
      <c r="F55" s="111"/>
      <c r="G55" s="111"/>
      <c r="H55" s="111"/>
      <c r="I55" s="111"/>
      <c r="J55" s="111"/>
      <c r="K55" s="111"/>
    </row>
    <row r="56">
      <c r="B56" s="111"/>
      <c r="C56" s="111"/>
      <c r="D56" s="111"/>
      <c r="E56" s="111"/>
      <c r="F56" s="111"/>
      <c r="G56" s="111"/>
      <c r="H56" s="111"/>
      <c r="I56" s="111"/>
      <c r="J56" s="111"/>
      <c r="K56" s="111"/>
    </row>
    <row r="57">
      <c r="B57" s="111"/>
      <c r="C57" s="111"/>
      <c r="D57" s="111"/>
      <c r="E57" s="111"/>
      <c r="F57" s="111"/>
      <c r="G57" s="111"/>
      <c r="H57" s="111"/>
      <c r="I57" s="111"/>
      <c r="J57" s="111"/>
      <c r="K57" s="111"/>
    </row>
    <row r="58">
      <c r="B58" s="111"/>
      <c r="C58" s="111"/>
      <c r="D58" s="111"/>
      <c r="E58" s="111"/>
      <c r="F58" s="111"/>
      <c r="G58" s="111"/>
      <c r="H58" s="111"/>
      <c r="I58" s="111"/>
      <c r="J58" s="111"/>
      <c r="K58" s="111"/>
    </row>
    <row r="59">
      <c r="B59" s="111"/>
      <c r="C59" s="111"/>
      <c r="D59" s="111"/>
      <c r="E59" s="111"/>
      <c r="F59" s="111"/>
      <c r="G59" s="111"/>
      <c r="H59" s="111"/>
      <c r="I59" s="111"/>
      <c r="J59" s="111"/>
      <c r="K59" s="111"/>
    </row>
    <row r="60">
      <c r="B60" s="111"/>
      <c r="C60" s="111"/>
      <c r="D60" s="111"/>
      <c r="E60" s="111"/>
      <c r="F60" s="111"/>
      <c r="G60" s="111"/>
      <c r="H60" s="111"/>
      <c r="I60" s="111"/>
      <c r="J60" s="111"/>
      <c r="K60" s="111"/>
    </row>
    <row r="61">
      <c r="B61" s="111"/>
      <c r="C61" s="111"/>
      <c r="D61" s="111"/>
      <c r="E61" s="111"/>
      <c r="F61" s="111"/>
      <c r="G61" s="111"/>
      <c r="H61" s="111"/>
      <c r="I61" s="111"/>
      <c r="J61" s="111"/>
      <c r="K61" s="111"/>
    </row>
    <row r="62">
      <c r="B62" s="111"/>
      <c r="C62" s="111"/>
      <c r="D62" s="111"/>
      <c r="E62" s="111"/>
      <c r="F62" s="111"/>
      <c r="G62" s="111"/>
      <c r="H62" s="111"/>
      <c r="I62" s="111"/>
      <c r="J62" s="111"/>
      <c r="K62" s="111"/>
    </row>
    <row r="63">
      <c r="B63" s="111"/>
      <c r="C63" s="111"/>
      <c r="D63" s="111"/>
      <c r="E63" s="111"/>
      <c r="F63" s="111"/>
      <c r="G63" s="111"/>
      <c r="H63" s="111"/>
      <c r="I63" s="111"/>
      <c r="J63" s="111"/>
      <c r="K63" s="111"/>
    </row>
    <row r="64">
      <c r="B64" s="111"/>
      <c r="C64" s="111"/>
      <c r="D64" s="111"/>
      <c r="E64" s="111"/>
      <c r="F64" s="111"/>
      <c r="G64" s="111"/>
      <c r="H64" s="111"/>
      <c r="I64" s="111"/>
      <c r="J64" s="111"/>
      <c r="K64" s="111"/>
    </row>
    <row r="65">
      <c r="B65" s="111"/>
      <c r="C65" s="111"/>
      <c r="D65" s="111"/>
      <c r="E65" s="111"/>
      <c r="F65" s="111"/>
      <c r="G65" s="111"/>
      <c r="H65" s="111"/>
      <c r="I65" s="111"/>
      <c r="J65" s="111"/>
      <c r="K65" s="111"/>
    </row>
    <row r="66">
      <c r="B66" s="111"/>
      <c r="C66" s="111"/>
      <c r="D66" s="111"/>
      <c r="E66" s="111"/>
      <c r="F66" s="111"/>
      <c r="G66" s="111"/>
      <c r="H66" s="111"/>
      <c r="I66" s="111"/>
      <c r="J66" s="111"/>
      <c r="K66" s="111"/>
    </row>
    <row r="67">
      <c r="B67" s="111"/>
      <c r="C67" s="111"/>
      <c r="D67" s="111"/>
      <c r="E67" s="111"/>
      <c r="F67" s="111"/>
      <c r="G67" s="111"/>
      <c r="H67" s="111"/>
      <c r="I67" s="111"/>
      <c r="J67" s="111"/>
      <c r="K67" s="111"/>
    </row>
    <row r="68">
      <c r="B68" s="111"/>
      <c r="C68" s="111"/>
      <c r="D68" s="111"/>
      <c r="E68" s="111"/>
      <c r="F68" s="111"/>
      <c r="G68" s="111"/>
      <c r="H68" s="111"/>
      <c r="I68" s="111"/>
      <c r="J68" s="111"/>
      <c r="K68" s="111"/>
    </row>
    <row r="69">
      <c r="B69" s="111"/>
      <c r="C69" s="111"/>
      <c r="D69" s="111"/>
      <c r="E69" s="111"/>
      <c r="F69" s="111"/>
      <c r="G69" s="111"/>
      <c r="H69" s="111"/>
      <c r="I69" s="111"/>
      <c r="J69" s="111"/>
      <c r="K69" s="111"/>
    </row>
    <row r="70">
      <c r="B70" s="111"/>
      <c r="C70" s="111"/>
      <c r="D70" s="111"/>
      <c r="E70" s="111"/>
      <c r="F70" s="111"/>
      <c r="G70" s="111"/>
      <c r="H70" s="111"/>
      <c r="I70" s="111"/>
      <c r="J70" s="111"/>
      <c r="K70" s="111"/>
    </row>
    <row r="71">
      <c r="B71" s="111"/>
      <c r="C71" s="111"/>
      <c r="D71" s="111"/>
      <c r="E71" s="111"/>
      <c r="F71" s="111"/>
      <c r="G71" s="111"/>
      <c r="H71" s="111"/>
      <c r="I71" s="111"/>
      <c r="J71" s="111"/>
      <c r="K71" s="111"/>
    </row>
    <row r="72">
      <c r="B72" s="111"/>
      <c r="C72" s="111"/>
      <c r="D72" s="111"/>
      <c r="E72" s="111"/>
      <c r="F72" s="111"/>
      <c r="G72" s="111"/>
      <c r="H72" s="111"/>
      <c r="I72" s="111"/>
      <c r="J72" s="111"/>
      <c r="K72" s="111"/>
    </row>
    <row r="73">
      <c r="B73" s="111"/>
      <c r="C73" s="111"/>
      <c r="D73" s="111"/>
      <c r="E73" s="111"/>
      <c r="F73" s="111"/>
      <c r="G73" s="111"/>
      <c r="H73" s="111"/>
      <c r="I73" s="111"/>
      <c r="J73" s="111"/>
      <c r="K73" s="111"/>
    </row>
    <row r="74">
      <c r="B74" s="111"/>
      <c r="C74" s="111"/>
      <c r="D74" s="111"/>
      <c r="E74" s="111"/>
      <c r="F74" s="111"/>
      <c r="G74" s="111"/>
      <c r="H74" s="111"/>
      <c r="I74" s="111"/>
      <c r="J74" s="111"/>
      <c r="K74" s="111"/>
    </row>
    <row r="75">
      <c r="B75" s="111"/>
      <c r="C75" s="111"/>
      <c r="D75" s="111"/>
      <c r="E75" s="111"/>
      <c r="F75" s="111"/>
      <c r="G75" s="111"/>
      <c r="H75" s="111"/>
      <c r="I75" s="111"/>
      <c r="J75" s="111"/>
      <c r="K75" s="111"/>
    </row>
    <row r="76">
      <c r="B76" s="111"/>
      <c r="C76" s="111"/>
      <c r="D76" s="111"/>
      <c r="E76" s="111"/>
      <c r="F76" s="111"/>
      <c r="G76" s="111"/>
      <c r="H76" s="111"/>
      <c r="I76" s="111"/>
      <c r="J76" s="111"/>
      <c r="K76" s="111"/>
    </row>
    <row r="77">
      <c r="B77" s="111"/>
      <c r="C77" s="111"/>
      <c r="D77" s="111"/>
      <c r="E77" s="111"/>
      <c r="F77" s="111"/>
      <c r="G77" s="111"/>
      <c r="H77" s="111"/>
      <c r="I77" s="111"/>
      <c r="J77" s="111"/>
      <c r="K77" s="111"/>
    </row>
    <row r="78">
      <c r="B78" s="111"/>
      <c r="C78" s="111"/>
      <c r="D78" s="111"/>
      <c r="E78" s="111"/>
      <c r="F78" s="111"/>
      <c r="G78" s="111"/>
      <c r="H78" s="111"/>
      <c r="I78" s="111"/>
      <c r="J78" s="111"/>
      <c r="K78" s="111"/>
    </row>
    <row r="79">
      <c r="B79" s="111"/>
      <c r="C79" s="111"/>
      <c r="D79" s="111"/>
      <c r="E79" s="111"/>
      <c r="F79" s="111"/>
      <c r="G79" s="111"/>
      <c r="H79" s="111"/>
      <c r="I79" s="111"/>
      <c r="J79" s="111"/>
      <c r="K79" s="111"/>
    </row>
    <row r="80">
      <c r="B80" s="111"/>
      <c r="C80" s="111"/>
      <c r="D80" s="111"/>
      <c r="E80" s="111"/>
      <c r="F80" s="111"/>
      <c r="G80" s="111"/>
      <c r="H80" s="111"/>
      <c r="I80" s="111"/>
      <c r="J80" s="111"/>
      <c r="K80" s="111"/>
    </row>
    <row r="81">
      <c r="B81" s="111"/>
      <c r="C81" s="111"/>
      <c r="D81" s="111"/>
      <c r="E81" s="111"/>
      <c r="F81" s="111"/>
      <c r="G81" s="111"/>
      <c r="H81" s="111"/>
      <c r="I81" s="111"/>
      <c r="J81" s="111"/>
      <c r="K81" s="111"/>
    </row>
    <row r="82">
      <c r="B82" s="111"/>
      <c r="C82" s="111"/>
      <c r="D82" s="111"/>
      <c r="E82" s="111"/>
      <c r="F82" s="111"/>
      <c r="G82" s="111"/>
      <c r="H82" s="111"/>
      <c r="I82" s="111"/>
      <c r="J82" s="111"/>
      <c r="K82" s="111"/>
    </row>
    <row r="83">
      <c r="B83" s="111"/>
      <c r="C83" s="111"/>
      <c r="D83" s="111"/>
      <c r="E83" s="111"/>
      <c r="F83" s="111"/>
      <c r="G83" s="111"/>
      <c r="H83" s="111"/>
      <c r="I83" s="111"/>
      <c r="J83" s="111"/>
      <c r="K83" s="111"/>
    </row>
    <row r="84">
      <c r="B84" s="111"/>
      <c r="C84" s="111"/>
      <c r="D84" s="111"/>
      <c r="E84" s="111"/>
      <c r="F84" s="111"/>
      <c r="G84" s="111"/>
      <c r="H84" s="111"/>
      <c r="I84" s="111"/>
      <c r="J84" s="111"/>
      <c r="K84" s="111"/>
    </row>
    <row r="85">
      <c r="B85" s="111"/>
      <c r="C85" s="111"/>
      <c r="D85" s="111"/>
      <c r="E85" s="111"/>
      <c r="F85" s="111"/>
      <c r="G85" s="111"/>
      <c r="H85" s="111"/>
      <c r="I85" s="111"/>
      <c r="J85" s="111"/>
      <c r="K85" s="111"/>
    </row>
    <row r="86">
      <c r="B86" s="111"/>
      <c r="C86" s="111"/>
      <c r="D86" s="111"/>
      <c r="E86" s="111"/>
      <c r="F86" s="111"/>
      <c r="G86" s="111"/>
      <c r="H86" s="111"/>
      <c r="I86" s="111"/>
      <c r="J86" s="111"/>
      <c r="K86" s="111"/>
    </row>
    <row r="87">
      <c r="B87" s="111"/>
      <c r="C87" s="111"/>
      <c r="D87" s="111"/>
      <c r="E87" s="111"/>
      <c r="F87" s="111"/>
      <c r="G87" s="111"/>
      <c r="H87" s="111"/>
      <c r="I87" s="111"/>
      <c r="J87" s="111"/>
      <c r="K87" s="111"/>
    </row>
    <row r="88">
      <c r="B88" s="111"/>
      <c r="C88" s="111"/>
      <c r="D88" s="111"/>
      <c r="E88" s="111"/>
      <c r="F88" s="111"/>
      <c r="G88" s="111"/>
      <c r="H88" s="111"/>
      <c r="I88" s="111"/>
      <c r="J88" s="111"/>
      <c r="K88" s="111"/>
    </row>
    <row r="89">
      <c r="B89" s="111"/>
      <c r="C89" s="111"/>
      <c r="D89" s="111"/>
      <c r="E89" s="111"/>
      <c r="F89" s="111"/>
      <c r="G89" s="111"/>
      <c r="H89" s="111"/>
      <c r="I89" s="111"/>
      <c r="J89" s="111"/>
      <c r="K89" s="111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Col="1"/>
  <cols>
    <col customWidth="1" min="2" max="2" width="8.75"/>
    <col customWidth="1" min="3" max="3" width="6.0"/>
    <col customWidth="1" min="4" max="4" width="21.5"/>
    <col customWidth="1" min="5" max="5" width="15.88"/>
    <col customWidth="1" min="6" max="6" width="19.75"/>
    <col customWidth="1" min="7" max="7" width="19.25"/>
    <col customWidth="1" min="8" max="10" width="8.63"/>
  </cols>
  <sheetData>
    <row r="1">
      <c r="A1" s="2"/>
      <c r="B1" s="5"/>
      <c r="C1" s="5"/>
      <c r="D1" s="5"/>
      <c r="E1" s="5"/>
      <c r="F1" s="5"/>
      <c r="G1" s="7"/>
      <c r="H1" s="46"/>
      <c r="I1" s="46"/>
      <c r="J1" s="7"/>
      <c r="K1" s="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126"/>
      <c r="B2" s="127" t="str">
        <f>IFERROR(__xludf.DUMMYFUNCTION("importrange(""186BTcLZIRRmcGcU5S6nDdN41SUH8zUJ1gFEIezWrRnQ"",""'overall points'!c2:L207"")"),"Position in standings")</f>
        <v>Position in standings</v>
      </c>
      <c r="C2" s="127" t="str">
        <f>IFERROR(__xludf.DUMMYFUNCTION("""COMPUTED_VALUE"""),"Car nr.")</f>
        <v>Car nr.</v>
      </c>
      <c r="D2" s="127" t="str">
        <f>IFERROR(__xludf.DUMMYFUNCTION("""COMPUTED_VALUE"""),"Name")</f>
        <v>Name</v>
      </c>
      <c r="E2" s="127" t="str">
        <f>IFERROR(__xludf.DUMMYFUNCTION("""COMPUTED_VALUE"""),"Country")</f>
        <v>Country</v>
      </c>
      <c r="F2" s="127" t="str">
        <f>IFERROR(__xludf.DUMMYFUNCTION("""COMPUTED_VALUE"""),"Car")</f>
        <v>Car</v>
      </c>
      <c r="G2" s="128" t="str">
        <f>IFERROR(__xludf.DUMMYFUNCTION("""COMPUTED_VALUE"""),"Team")</f>
        <v>Team</v>
      </c>
      <c r="H2" s="128" t="str">
        <f>IFERROR(__xludf.DUMMYFUNCTION("""COMPUTED_VALUE"""),"Tandem points")</f>
        <v>Tandem points</v>
      </c>
      <c r="I2" s="128" t="str">
        <f>IFERROR(__xludf.DUMMYFUNCTION("""COMPUTED_VALUE"""),"Quali points")</f>
        <v>Quali points</v>
      </c>
      <c r="J2" s="129" t="str">
        <f>IFERROR(__xludf.DUMMYFUNCTION("""COMPUTED_VALUE"""),"Prev. points")</f>
        <v>Prev. points</v>
      </c>
      <c r="K2" s="130" t="str">
        <f>IFERROR(__xludf.DUMMYFUNCTION("""COMPUTED_VALUE"""),"Total points")</f>
        <v>Total points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>
      <c r="A3" s="13"/>
      <c r="B3" s="131">
        <f>IFERROR(__xludf.DUMMYFUNCTION("""COMPUTED_VALUE"""),1.0)</f>
        <v>1</v>
      </c>
      <c r="C3" s="131">
        <f>IFERROR(__xludf.DUMMYFUNCTION("""COMPUTED_VALUE"""),895.0)</f>
        <v>895</v>
      </c>
      <c r="D3" s="131" t="str">
        <f>IFERROR(__xludf.DUMMYFUNCTION("""COMPUTED_VALUE"""),"Siim Voort")</f>
        <v>Siim Voort</v>
      </c>
      <c r="E3" s="131" t="str">
        <f>IFERROR(__xludf.DUMMYFUNCTION("""COMPUTED_VALUE"""),"Estonia")</f>
        <v>Estonia</v>
      </c>
      <c r="F3" s="131" t="str">
        <f>IFERROR(__xludf.DUMMYFUNCTION("""COMPUTED_VALUE"""),"BMW E36")</f>
        <v>BMW E36</v>
      </c>
      <c r="G3" s="132"/>
      <c r="H3" s="133">
        <f>IFERROR(__xludf.DUMMYFUNCTION("""COMPUTED_VALUE"""),78.0)</f>
        <v>78</v>
      </c>
      <c r="I3" s="133">
        <f>IFERROR(__xludf.DUMMYFUNCTION("""COMPUTED_VALUE"""),12.0)</f>
        <v>12</v>
      </c>
      <c r="J3" s="134">
        <f>IFERROR(__xludf.DUMMYFUNCTION("""COMPUTED_VALUE"""),186.0)</f>
        <v>186</v>
      </c>
      <c r="K3" s="135">
        <f>IFERROR(__xludf.DUMMYFUNCTION("""COMPUTED_VALUE"""),276.0)</f>
        <v>276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13"/>
      <c r="B4" s="131">
        <f>IFERROR(__xludf.DUMMYFUNCTION("""COMPUTED_VALUE"""),2.0)</f>
        <v>2</v>
      </c>
      <c r="C4" s="131">
        <f>IFERROR(__xludf.DUMMYFUNCTION("""COMPUTED_VALUE"""),41.0)</f>
        <v>41</v>
      </c>
      <c r="D4" s="131" t="str">
        <f>IFERROR(__xludf.DUMMYFUNCTION("""COMPUTED_VALUE"""),"Armands Vestmanis")</f>
        <v>Armands Vestmanis</v>
      </c>
      <c r="E4" s="131" t="str">
        <f>IFERROR(__xludf.DUMMYFUNCTION("""COMPUTED_VALUE"""),"Latvia")</f>
        <v>Latvia</v>
      </c>
      <c r="F4" s="131" t="str">
        <f>IFERROR(__xludf.DUMMYFUNCTION("""COMPUTED_VALUE"""),"BMW E36")</f>
        <v>BMW E36</v>
      </c>
      <c r="G4" s="133" t="str">
        <f>IFERROR(__xludf.DUMMYFUNCTION("""COMPUTED_VALUE"""),"RTRiga")</f>
        <v>RTRiga</v>
      </c>
      <c r="H4" s="133">
        <f>IFERROR(__xludf.DUMMYFUNCTION("""COMPUTED_VALUE"""),88.0)</f>
        <v>88</v>
      </c>
      <c r="I4" s="133">
        <f>IFERROR(__xludf.DUMMYFUNCTION("""COMPUTED_VALUE"""),4.0)</f>
        <v>4</v>
      </c>
      <c r="J4" s="134">
        <f>IFERROR(__xludf.DUMMYFUNCTION("""COMPUTED_VALUE"""),136.0)</f>
        <v>136</v>
      </c>
      <c r="K4" s="135">
        <f>IFERROR(__xludf.DUMMYFUNCTION("""COMPUTED_VALUE"""),228.0)</f>
        <v>228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13"/>
      <c r="B5" s="131">
        <f>IFERROR(__xludf.DUMMYFUNCTION("""COMPUTED_VALUE"""),3.0)</f>
        <v>3</v>
      </c>
      <c r="C5" s="131">
        <f>IFERROR(__xludf.DUMMYFUNCTION("""COMPUTED_VALUE"""),336.0)</f>
        <v>336</v>
      </c>
      <c r="D5" s="131" t="str">
        <f>IFERROR(__xludf.DUMMYFUNCTION("""COMPUTED_VALUE"""),"Darius Ostreika")</f>
        <v>Darius Ostreika</v>
      </c>
      <c r="E5" s="131" t="str">
        <f>IFERROR(__xludf.DUMMYFUNCTION("""COMPUTED_VALUE"""),"Lithuania")</f>
        <v>Lithuania</v>
      </c>
      <c r="F5" s="131" t="str">
        <f>IFERROR(__xludf.DUMMYFUNCTION("""COMPUTED_VALUE"""),"BMW E36")</f>
        <v>BMW E36</v>
      </c>
      <c r="G5" s="133" t="str">
        <f>IFERROR(__xludf.DUMMYFUNCTION("""COMPUTED_VALUE"""),"RTW")</f>
        <v>RTW</v>
      </c>
      <c r="H5" s="133">
        <f>IFERROR(__xludf.DUMMYFUNCTION("""COMPUTED_VALUE"""),24.0)</f>
        <v>24</v>
      </c>
      <c r="I5" s="133">
        <f>IFERROR(__xludf.DUMMYFUNCTION("""COMPUTED_VALUE"""),3.0)</f>
        <v>3</v>
      </c>
      <c r="J5" s="134">
        <f>IFERROR(__xludf.DUMMYFUNCTION("""COMPUTED_VALUE"""),170.0)</f>
        <v>170</v>
      </c>
      <c r="K5" s="135">
        <f>IFERROR(__xludf.DUMMYFUNCTION("""COMPUTED_VALUE"""),197.0)</f>
        <v>197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13"/>
      <c r="B6" s="131">
        <f>IFERROR(__xludf.DUMMYFUNCTION("""COMPUTED_VALUE"""),4.0)</f>
        <v>4</v>
      </c>
      <c r="C6" s="131">
        <f>IFERROR(__xludf.DUMMYFUNCTION("""COMPUTED_VALUE"""),401.0)</f>
        <v>401</v>
      </c>
      <c r="D6" s="131" t="str">
        <f>IFERROR(__xludf.DUMMYFUNCTION("""COMPUTED_VALUE"""),"Artur Kula")</f>
        <v>Artur Kula</v>
      </c>
      <c r="E6" s="131" t="str">
        <f>IFERROR(__xludf.DUMMYFUNCTION("""COMPUTED_VALUE"""),"Poland")</f>
        <v>Poland</v>
      </c>
      <c r="F6" s="131" t="str">
        <f>IFERROR(__xludf.DUMMYFUNCTION("""COMPUTED_VALUE"""),"BMW E36")</f>
        <v>BMW E36</v>
      </c>
      <c r="G6" s="133" t="str">
        <f>IFERROR(__xludf.DUMMYFUNCTION("""COMPUTED_VALUE"""),"Griptone")</f>
        <v>Griptone</v>
      </c>
      <c r="H6" s="133">
        <f>IFERROR(__xludf.DUMMYFUNCTION("""COMPUTED_VALUE"""),61.0)</f>
        <v>61</v>
      </c>
      <c r="I6" s="133">
        <f>IFERROR(__xludf.DUMMYFUNCTION("""COMPUTED_VALUE"""),3.0)</f>
        <v>3</v>
      </c>
      <c r="J6" s="134">
        <f>IFERROR(__xludf.DUMMYFUNCTION("""COMPUTED_VALUE"""),125.0)</f>
        <v>125</v>
      </c>
      <c r="K6" s="135">
        <f>IFERROR(__xludf.DUMMYFUNCTION("""COMPUTED_VALUE"""),189.0)</f>
        <v>189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13"/>
      <c r="B7" s="131">
        <f>IFERROR(__xludf.DUMMYFUNCTION("""COMPUTED_VALUE"""),5.0)</f>
        <v>5</v>
      </c>
      <c r="C7" s="131">
        <f>IFERROR(__xludf.DUMMYFUNCTION("""COMPUTED_VALUE"""),686.0)</f>
        <v>686</v>
      </c>
      <c r="D7" s="131" t="str">
        <f>IFERROR(__xludf.DUMMYFUNCTION("""COMPUTED_VALUE"""),"Luis Treviño")</f>
        <v>Luis Treviño</v>
      </c>
      <c r="E7" s="131" t="str">
        <f>IFERROR(__xludf.DUMMYFUNCTION("""COMPUTED_VALUE"""),"Spain")</f>
        <v>Spain</v>
      </c>
      <c r="F7" s="131" t="str">
        <f>IFERROR(__xludf.DUMMYFUNCTION("""COMPUTED_VALUE"""),"BMW E36")</f>
        <v>BMW E36</v>
      </c>
      <c r="G7" s="133" t="str">
        <f>IFERROR(__xludf.DUMMYFUNCTION("""COMPUTED_VALUE"""),"Eskuko Black")</f>
        <v>Eskuko Black</v>
      </c>
      <c r="H7" s="133">
        <f>IFERROR(__xludf.DUMMYFUNCTION("""COMPUTED_VALUE"""),61.0)</f>
        <v>61</v>
      </c>
      <c r="I7" s="133">
        <f>IFERROR(__xludf.DUMMYFUNCTION("""COMPUTED_VALUE"""),1.0)</f>
        <v>1</v>
      </c>
      <c r="J7" s="134">
        <f>IFERROR(__xludf.DUMMYFUNCTION("""COMPUTED_VALUE"""),112.0)</f>
        <v>112</v>
      </c>
      <c r="K7" s="135">
        <f>IFERROR(__xludf.DUMMYFUNCTION("""COMPUTED_VALUE"""),174.0)</f>
        <v>174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13"/>
      <c r="B8" s="131">
        <f>IFERROR(__xludf.DUMMYFUNCTION("""COMPUTED_VALUE"""),6.0)</f>
        <v>6</v>
      </c>
      <c r="C8" s="131">
        <f>IFERROR(__xludf.DUMMYFUNCTION("""COMPUTED_VALUE"""),18.0)</f>
        <v>18</v>
      </c>
      <c r="D8" s="131" t="str">
        <f>IFERROR(__xludf.DUMMYFUNCTION("""COMPUTED_VALUE"""),"Matīss Lācis")</f>
        <v>Matīss Lācis</v>
      </c>
      <c r="E8" s="131" t="str">
        <f>IFERROR(__xludf.DUMMYFUNCTION("""COMPUTED_VALUE"""),"Latvia")</f>
        <v>Latvia</v>
      </c>
      <c r="F8" s="131" t="str">
        <f>IFERROR(__xludf.DUMMYFUNCTION("""COMPUTED_VALUE"""),"BMW E46")</f>
        <v>BMW E46</v>
      </c>
      <c r="G8" s="133" t="str">
        <f>IFERROR(__xludf.DUMMYFUNCTION("""COMPUTED_VALUE"""),"RTRiga")</f>
        <v>RTRiga</v>
      </c>
      <c r="H8" s="133">
        <f>IFERROR(__xludf.DUMMYFUNCTION("""COMPUTED_VALUE"""),54.0)</f>
        <v>54</v>
      </c>
      <c r="I8" s="133">
        <f>IFERROR(__xludf.DUMMYFUNCTION("""COMPUTED_VALUE"""),2.0)</f>
        <v>2</v>
      </c>
      <c r="J8" s="134">
        <f>IFERROR(__xludf.DUMMYFUNCTION("""COMPUTED_VALUE"""),116.5)</f>
        <v>116.5</v>
      </c>
      <c r="K8" s="135">
        <f>IFERROR(__xludf.DUMMYFUNCTION("""COMPUTED_VALUE"""),172.5)</f>
        <v>172.5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13"/>
      <c r="B9" s="131">
        <f>IFERROR(__xludf.DUMMYFUNCTION("""COMPUTED_VALUE"""),7.0)</f>
        <v>7</v>
      </c>
      <c r="C9" s="131">
        <f>IFERROR(__xludf.DUMMYFUNCTION("""COMPUTED_VALUE"""),13.0)</f>
        <v>13</v>
      </c>
      <c r="D9" s="131" t="str">
        <f>IFERROR(__xludf.DUMMYFUNCTION("""COMPUTED_VALUE"""),"Fredrik Blokhus")</f>
        <v>Fredrik Blokhus</v>
      </c>
      <c r="E9" s="131" t="str">
        <f>IFERROR(__xludf.DUMMYFUNCTION("""COMPUTED_VALUE"""),"Norway")</f>
        <v>Norway</v>
      </c>
      <c r="F9" s="131" t="str">
        <f>IFERROR(__xludf.DUMMYFUNCTION("""COMPUTED_VALUE"""),"BMW E36")</f>
        <v>BMW E36</v>
      </c>
      <c r="G9" s="133" t="str">
        <f>IFERROR(__xludf.DUMMYFUNCTION("""COMPUTED_VALUE"""),"Clutch This!")</f>
        <v>Clutch This!</v>
      </c>
      <c r="H9" s="133">
        <f>IFERROR(__xludf.DUMMYFUNCTION("""COMPUTED_VALUE"""),24.0)</f>
        <v>24</v>
      </c>
      <c r="I9" s="133">
        <f>IFERROR(__xludf.DUMMYFUNCTION("""COMPUTED_VALUE"""),0.5)</f>
        <v>0.5</v>
      </c>
      <c r="J9" s="134">
        <f>IFERROR(__xludf.DUMMYFUNCTION("""COMPUTED_VALUE"""),132.5)</f>
        <v>132.5</v>
      </c>
      <c r="K9" s="135">
        <f>IFERROR(__xludf.DUMMYFUNCTION("""COMPUTED_VALUE"""),157.0)</f>
        <v>157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13"/>
      <c r="B10" s="131">
        <f>IFERROR(__xludf.DUMMYFUNCTION("""COMPUTED_VALUE"""),8.0)</f>
        <v>8</v>
      </c>
      <c r="C10" s="131">
        <f>IFERROR(__xludf.DUMMYFUNCTION("""COMPUTED_VALUE"""),649.0)</f>
        <v>649</v>
      </c>
      <c r="D10" s="136" t="str">
        <f>IFERROR(__xludf.DUMMYFUNCTION("""COMPUTED_VALUE"""),"Simon Sandman")</f>
        <v>Simon Sandman</v>
      </c>
      <c r="E10" s="131" t="str">
        <f>IFERROR(__xludf.DUMMYFUNCTION("""COMPUTED_VALUE"""),"Sweden")</f>
        <v>Sweden</v>
      </c>
      <c r="F10" s="131" t="str">
        <f>IFERROR(__xludf.DUMMYFUNCTION("""COMPUTED_VALUE"""),"BMW E36")</f>
        <v>BMW E36</v>
      </c>
      <c r="G10" s="133" t="str">
        <f>IFERROR(__xludf.DUMMYFUNCTION("""COMPUTED_VALUE"""),"TEAM AWAKE")</f>
        <v>TEAM AWAKE</v>
      </c>
      <c r="H10" s="133">
        <f>IFERROR(__xludf.DUMMYFUNCTION("""COMPUTED_VALUE"""),24.0)</f>
        <v>24</v>
      </c>
      <c r="I10" s="133">
        <f>IFERROR(__xludf.DUMMYFUNCTION("""COMPUTED_VALUE"""),1.0)</f>
        <v>1</v>
      </c>
      <c r="J10" s="134">
        <f>IFERROR(__xludf.DUMMYFUNCTION("""COMPUTED_VALUE"""),122.75)</f>
        <v>122.75</v>
      </c>
      <c r="K10" s="135">
        <f>IFERROR(__xludf.DUMMYFUNCTION("""COMPUTED_VALUE"""),147.75)</f>
        <v>147.75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13"/>
      <c r="B11" s="131">
        <f>IFERROR(__xludf.DUMMYFUNCTION("""COMPUTED_VALUE"""),9.0)</f>
        <v>9</v>
      </c>
      <c r="C11" s="131">
        <f>IFERROR(__xludf.DUMMYFUNCTION("""COMPUTED_VALUE"""),118.0)</f>
        <v>118</v>
      </c>
      <c r="D11" s="131" t="str">
        <f>IFERROR(__xludf.DUMMYFUNCTION("""COMPUTED_VALUE"""),"Ernestas Jakubėlis")</f>
        <v>Ernestas Jakubėlis</v>
      </c>
      <c r="E11" s="131" t="str">
        <f>IFERROR(__xludf.DUMMYFUNCTION("""COMPUTED_VALUE"""),"Lithuania")</f>
        <v>Lithuania</v>
      </c>
      <c r="F11" s="131" t="str">
        <f>IFERROR(__xludf.DUMMYFUNCTION("""COMPUTED_VALUE"""),"BMW E36")</f>
        <v>BMW E36</v>
      </c>
      <c r="G11" s="133" t="str">
        <f>IFERROR(__xludf.DUMMYFUNCTION("""COMPUTED_VALUE"""),"RTW")</f>
        <v>RTW</v>
      </c>
      <c r="H11" s="133" t="str">
        <f>IFERROR(__xludf.DUMMYFUNCTION("""COMPUTED_VALUE"""),"")</f>
        <v/>
      </c>
      <c r="I11" s="133" t="str">
        <f>IFERROR(__xludf.DUMMYFUNCTION("""COMPUTED_VALUE"""),"")</f>
        <v/>
      </c>
      <c r="J11" s="134">
        <f>IFERROR(__xludf.DUMMYFUNCTION("""COMPUTED_VALUE"""),143.0)</f>
        <v>143</v>
      </c>
      <c r="K11" s="135">
        <f>IFERROR(__xludf.DUMMYFUNCTION("""COMPUTED_VALUE"""),143.0)</f>
        <v>143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13"/>
      <c r="B12" s="131">
        <f>IFERROR(__xludf.DUMMYFUNCTION("""COMPUTED_VALUE"""),10.0)</f>
        <v>10</v>
      </c>
      <c r="C12" s="131">
        <f>IFERROR(__xludf.DUMMYFUNCTION("""COMPUTED_VALUE"""),37.0)</f>
        <v>37</v>
      </c>
      <c r="D12" s="131" t="str">
        <f>IFERROR(__xludf.DUMMYFUNCTION("""COMPUTED_VALUE"""),"Markuss Milns")</f>
        <v>Markuss Milns</v>
      </c>
      <c r="E12" s="131" t="str">
        <f>IFERROR(__xludf.DUMMYFUNCTION("""COMPUTED_VALUE"""),"Latvia")</f>
        <v>Latvia</v>
      </c>
      <c r="F12" s="131" t="str">
        <f>IFERROR(__xludf.DUMMYFUNCTION("""COMPUTED_VALUE"""),"BMW E36")</f>
        <v>BMW E36</v>
      </c>
      <c r="G12" s="133" t="str">
        <f>IFERROR(__xludf.DUMMYFUNCTION("""COMPUTED_VALUE"""),"Drifta Halle")</f>
        <v>Drifta Halle</v>
      </c>
      <c r="H12" s="133">
        <f>IFERROR(__xludf.DUMMYFUNCTION("""COMPUTED_VALUE"""),10.0)</f>
        <v>10</v>
      </c>
      <c r="I12" s="133">
        <f>IFERROR(__xludf.DUMMYFUNCTION("""COMPUTED_VALUE"""),0.1)</f>
        <v>0.1</v>
      </c>
      <c r="J12" s="134">
        <f>IFERROR(__xludf.DUMMYFUNCTION("""COMPUTED_VALUE"""),127.5)</f>
        <v>127.5</v>
      </c>
      <c r="K12" s="135">
        <f>IFERROR(__xludf.DUMMYFUNCTION("""COMPUTED_VALUE"""),137.6)</f>
        <v>137.6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13"/>
      <c r="B13" s="131">
        <f>IFERROR(__xludf.DUMMYFUNCTION("""COMPUTED_VALUE"""),11.0)</f>
        <v>11</v>
      </c>
      <c r="C13" s="131">
        <f>IFERROR(__xludf.DUMMYFUNCTION("""COMPUTED_VALUE"""),666.0)</f>
        <v>666</v>
      </c>
      <c r="D13" s="131" t="str">
        <f>IFERROR(__xludf.DUMMYFUNCTION("""COMPUTED_VALUE"""),"Ritums Jēkabsons")</f>
        <v>Ritums Jēkabsons</v>
      </c>
      <c r="E13" s="131" t="str">
        <f>IFERROR(__xludf.DUMMYFUNCTION("""COMPUTED_VALUE"""),"Latvia")</f>
        <v>Latvia</v>
      </c>
      <c r="F13" s="131" t="str">
        <f>IFERROR(__xludf.DUMMYFUNCTION("""COMPUTED_VALUE"""),"BMW E36")</f>
        <v>BMW E36</v>
      </c>
      <c r="G13" s="133" t="str">
        <f>IFERROR(__xludf.DUMMYFUNCTION("""COMPUTED_VALUE"""),"Drifta halle")</f>
        <v>Drifta halle</v>
      </c>
      <c r="H13" s="133">
        <f>IFERROR(__xludf.DUMMYFUNCTION("""COMPUTED_VALUE"""),24.0)</f>
        <v>24</v>
      </c>
      <c r="I13" s="133">
        <f>IFERROR(__xludf.DUMMYFUNCTION("""COMPUTED_VALUE"""),0.5)</f>
        <v>0.5</v>
      </c>
      <c r="J13" s="134">
        <f>IFERROR(__xludf.DUMMYFUNCTION("""COMPUTED_VALUE"""),108.75)</f>
        <v>108.75</v>
      </c>
      <c r="K13" s="135">
        <f>IFERROR(__xludf.DUMMYFUNCTION("""COMPUTED_VALUE"""),133.25)</f>
        <v>133.25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13"/>
      <c r="B14" s="131">
        <f>IFERROR(__xludf.DUMMYFUNCTION("""COMPUTED_VALUE"""),12.0)</f>
        <v>12</v>
      </c>
      <c r="C14" s="131">
        <f>IFERROR(__xludf.DUMMYFUNCTION("""COMPUTED_VALUE"""),26.0)</f>
        <v>26</v>
      </c>
      <c r="D14" s="131" t="str">
        <f>IFERROR(__xludf.DUMMYFUNCTION("""COMPUTED_VALUE"""),"Iban Torreblanca")</f>
        <v>Iban Torreblanca</v>
      </c>
      <c r="E14" s="131" t="str">
        <f>IFERROR(__xludf.DUMMYFUNCTION("""COMPUTED_VALUE"""),"Spain")</f>
        <v>Spain</v>
      </c>
      <c r="F14" s="131" t="str">
        <f>IFERROR(__xludf.DUMMYFUNCTION("""COMPUTED_VALUE"""),"BMW E36")</f>
        <v>BMW E36</v>
      </c>
      <c r="G14" s="133" t="str">
        <f>IFERROR(__xludf.DUMMYFUNCTION("""COMPUTED_VALUE"""),"ESKUKO black")</f>
        <v>ESKUKO black</v>
      </c>
      <c r="H14" s="133">
        <f>IFERROR(__xludf.DUMMYFUNCTION("""COMPUTED_VALUE"""),24.0)</f>
        <v>24</v>
      </c>
      <c r="I14" s="133">
        <f>IFERROR(__xludf.DUMMYFUNCTION("""COMPUTED_VALUE"""),10.0)</f>
        <v>10</v>
      </c>
      <c r="J14" s="134">
        <f>IFERROR(__xludf.DUMMYFUNCTION("""COMPUTED_VALUE"""),86.5)</f>
        <v>86.5</v>
      </c>
      <c r="K14" s="135">
        <f>IFERROR(__xludf.DUMMYFUNCTION("""COMPUTED_VALUE"""),120.5)</f>
        <v>120.5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13"/>
      <c r="B15" s="131">
        <f>IFERROR(__xludf.DUMMYFUNCTION("""COMPUTED_VALUE"""),13.0)</f>
        <v>13</v>
      </c>
      <c r="C15" s="131">
        <f>IFERROR(__xludf.DUMMYFUNCTION("""COMPUTED_VALUE"""),66.0)</f>
        <v>66</v>
      </c>
      <c r="D15" s="131" t="str">
        <f>IFERROR(__xludf.DUMMYFUNCTION("""COMPUTED_VALUE"""),"Juanan Jorques")</f>
        <v>Juanan Jorques</v>
      </c>
      <c r="E15" s="131" t="str">
        <f>IFERROR(__xludf.DUMMYFUNCTION("""COMPUTED_VALUE"""),"Spain")</f>
        <v>Spain</v>
      </c>
      <c r="F15" s="131" t="str">
        <f>IFERROR(__xludf.DUMMYFUNCTION("""COMPUTED_VALUE"""),"BMW E46")</f>
        <v>BMW E46</v>
      </c>
      <c r="G15" s="133" t="str">
        <f>IFERROR(__xludf.DUMMYFUNCTION("""COMPUTED_VALUE"""),"Eskuko Black")</f>
        <v>Eskuko Black</v>
      </c>
      <c r="H15" s="133">
        <f>IFERROR(__xludf.DUMMYFUNCTION("""COMPUTED_VALUE"""),54.0)</f>
        <v>54</v>
      </c>
      <c r="I15" s="133">
        <f>IFERROR(__xludf.DUMMYFUNCTION("""COMPUTED_VALUE"""),6.0)</f>
        <v>6</v>
      </c>
      <c r="J15" s="134">
        <f>IFERROR(__xludf.DUMMYFUNCTION("""COMPUTED_VALUE"""),60.0)</f>
        <v>60</v>
      </c>
      <c r="K15" s="135">
        <f>IFERROR(__xludf.DUMMYFUNCTION("""COMPUTED_VALUE"""),120.0)</f>
        <v>120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13"/>
      <c r="B16" s="131">
        <f>IFERROR(__xludf.DUMMYFUNCTION("""COMPUTED_VALUE"""),14.0)</f>
        <v>14</v>
      </c>
      <c r="C16" s="131">
        <f>IFERROR(__xludf.DUMMYFUNCTION("""COMPUTED_VALUE"""),410.0)</f>
        <v>410</v>
      </c>
      <c r="D16" s="131" t="str">
        <f>IFERROR(__xludf.DUMMYFUNCTION("""COMPUTED_VALUE"""),"Chase Cronin")</f>
        <v>Chase Cronin</v>
      </c>
      <c r="E16" s="131" t="str">
        <f>IFERROR(__xludf.DUMMYFUNCTION("""COMPUTED_VALUE"""),"United States")</f>
        <v>United States</v>
      </c>
      <c r="F16" s="131" t="str">
        <f>IFERROR(__xludf.DUMMYFUNCTION("""COMPUTED_VALUE"""),"BMW E46")</f>
        <v>BMW E46</v>
      </c>
      <c r="G16" s="133" t="str">
        <f>IFERROR(__xludf.DUMMYFUNCTION("""COMPUTED_VALUE"""),"Kaiju")</f>
        <v>Kaiju</v>
      </c>
      <c r="H16" s="133">
        <f>IFERROR(__xludf.DUMMYFUNCTION("""COMPUTED_VALUE"""),100.0)</f>
        <v>100</v>
      </c>
      <c r="I16" s="133">
        <f>IFERROR(__xludf.DUMMYFUNCTION("""COMPUTED_VALUE"""),4.0)</f>
        <v>4</v>
      </c>
      <c r="J16" s="134" t="str">
        <f>IFERROR(__xludf.DUMMYFUNCTION("""COMPUTED_VALUE"""),"")</f>
        <v/>
      </c>
      <c r="K16" s="135">
        <f>IFERROR(__xludf.DUMMYFUNCTION("""COMPUTED_VALUE"""),104.0)</f>
        <v>104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13"/>
      <c r="B17" s="131">
        <f>IFERROR(__xludf.DUMMYFUNCTION("""COMPUTED_VALUE"""),15.0)</f>
        <v>15</v>
      </c>
      <c r="C17" s="131">
        <f>IFERROR(__xludf.DUMMYFUNCTION("""COMPUTED_VALUE"""),743.0)</f>
        <v>743</v>
      </c>
      <c r="D17" s="131" t="str">
        <f>IFERROR(__xludf.DUMMYFUNCTION("""COMPUTED_VALUE"""),"Danielis Soltysiakas")</f>
        <v>Danielis Soltysiakas</v>
      </c>
      <c r="E17" s="131" t="str">
        <f>IFERROR(__xludf.DUMMYFUNCTION("""COMPUTED_VALUE"""),"Lithuania")</f>
        <v>Lithuania</v>
      </c>
      <c r="F17" s="131" t="str">
        <f>IFERROR(__xludf.DUMMYFUNCTION("""COMPUTED_VALUE"""),"BMW E46")</f>
        <v>BMW E46</v>
      </c>
      <c r="G17" s="133" t="str">
        <f>IFERROR(__xludf.DUMMYFUNCTION("""COMPUTED_VALUE"""),"NiekoTokio")</f>
        <v>NiekoTokio</v>
      </c>
      <c r="H17" s="133">
        <f>IFERROR(__xludf.DUMMYFUNCTION("""COMPUTED_VALUE"""),24.0)</f>
        <v>24</v>
      </c>
      <c r="I17" s="133">
        <f>IFERROR(__xludf.DUMMYFUNCTION("""COMPUTED_VALUE"""),0.25)</f>
        <v>0.25</v>
      </c>
      <c r="J17" s="134">
        <f>IFERROR(__xludf.DUMMYFUNCTION("""COMPUTED_VALUE"""),78.5)</f>
        <v>78.5</v>
      </c>
      <c r="K17" s="135">
        <f>IFERROR(__xludf.DUMMYFUNCTION("""COMPUTED_VALUE"""),102.75)</f>
        <v>102.75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13"/>
      <c r="B18" s="131">
        <f>IFERROR(__xludf.DUMMYFUNCTION("""COMPUTED_VALUE"""),16.0)</f>
        <v>16</v>
      </c>
      <c r="C18" s="131">
        <f>IFERROR(__xludf.DUMMYFUNCTION("""COMPUTED_VALUE"""),99.0)</f>
        <v>99</v>
      </c>
      <c r="D18" s="131" t="str">
        <f>IFERROR(__xludf.DUMMYFUNCTION("""COMPUTED_VALUE"""),"Oihan Polo")</f>
        <v>Oihan Polo</v>
      </c>
      <c r="E18" s="131" t="str">
        <f>IFERROR(__xludf.DUMMYFUNCTION("""COMPUTED_VALUE"""),"Spain")</f>
        <v>Spain</v>
      </c>
      <c r="F18" s="131" t="str">
        <f>IFERROR(__xludf.DUMMYFUNCTION("""COMPUTED_VALUE"""),"BMW E36")</f>
        <v>BMW E36</v>
      </c>
      <c r="G18" s="133" t="str">
        <f>IFERROR(__xludf.DUMMYFUNCTION("""COMPUTED_VALUE"""),"Eskuko Black")</f>
        <v>Eskuko Black</v>
      </c>
      <c r="H18" s="133">
        <f>IFERROR(__xludf.DUMMYFUNCTION("""COMPUTED_VALUE"""),61.0)</f>
        <v>61</v>
      </c>
      <c r="I18" s="133">
        <f>IFERROR(__xludf.DUMMYFUNCTION("""COMPUTED_VALUE"""),0.5)</f>
        <v>0.5</v>
      </c>
      <c r="J18" s="134">
        <f>IFERROR(__xludf.DUMMYFUNCTION("""COMPUTED_VALUE"""),40.1)</f>
        <v>40.1</v>
      </c>
      <c r="K18" s="135">
        <f>IFERROR(__xludf.DUMMYFUNCTION("""COMPUTED_VALUE"""),101.6)</f>
        <v>101.6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>
      <c r="A19" s="13"/>
      <c r="B19" s="131">
        <f>IFERROR(__xludf.DUMMYFUNCTION("""COMPUTED_VALUE"""),17.0)</f>
        <v>17</v>
      </c>
      <c r="C19" s="131">
        <f>IFERROR(__xludf.DUMMYFUNCTION("""COMPUTED_VALUE"""),9.0)</f>
        <v>9</v>
      </c>
      <c r="D19" s="131" t="str">
        <f>IFERROR(__xludf.DUMMYFUNCTION("""COMPUTED_VALUE"""),"Benas Jonutis")</f>
        <v>Benas Jonutis</v>
      </c>
      <c r="E19" s="131" t="str">
        <f>IFERROR(__xludf.DUMMYFUNCTION("""COMPUTED_VALUE"""),"Lithuania")</f>
        <v>Lithuania</v>
      </c>
      <c r="F19" s="131" t="str">
        <f>IFERROR(__xludf.DUMMYFUNCTION("""COMPUTED_VALUE"""),"BMW E36")</f>
        <v>BMW E36</v>
      </c>
      <c r="G19" s="133" t="str">
        <f>IFERROR(__xludf.DUMMYFUNCTION("""COMPUTED_VALUE"""),"niekotokio")</f>
        <v>niekotokio</v>
      </c>
      <c r="H19" s="133">
        <f>IFERROR(__xludf.DUMMYFUNCTION("""COMPUTED_VALUE"""),69.0)</f>
        <v>69</v>
      </c>
      <c r="I19" s="133">
        <f>IFERROR(__xludf.DUMMYFUNCTION("""COMPUTED_VALUE"""),0.25)</f>
        <v>0.25</v>
      </c>
      <c r="J19" s="134">
        <f>IFERROR(__xludf.DUMMYFUNCTION("""COMPUTED_VALUE"""),26.0)</f>
        <v>26</v>
      </c>
      <c r="K19" s="135">
        <f>IFERROR(__xludf.DUMMYFUNCTION("""COMPUTED_VALUE"""),95.25)</f>
        <v>95.25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>
      <c r="A20" s="13"/>
      <c r="B20" s="131">
        <f>IFERROR(__xludf.DUMMYFUNCTION("""COMPUTED_VALUE"""),18.0)</f>
        <v>18</v>
      </c>
      <c r="C20" s="131">
        <f>IFERROR(__xludf.DUMMYFUNCTION("""COMPUTED_VALUE"""),144.0)</f>
        <v>144</v>
      </c>
      <c r="D20" s="131" t="str">
        <f>IFERROR(__xludf.DUMMYFUNCTION("""COMPUTED_VALUE"""),"Emilis Valeika")</f>
        <v>Emilis Valeika</v>
      </c>
      <c r="E20" s="131" t="str">
        <f>IFERROR(__xludf.DUMMYFUNCTION("""COMPUTED_VALUE"""),"Lithuania")</f>
        <v>Lithuania</v>
      </c>
      <c r="F20" s="131" t="str">
        <f>IFERROR(__xludf.DUMMYFUNCTION("""COMPUTED_VALUE"""),"BMW E36")</f>
        <v>BMW E36</v>
      </c>
      <c r="G20" s="133" t="str">
        <f>IFERROR(__xludf.DUMMYFUNCTION("""COMPUTED_VALUE"""),"RTW")</f>
        <v>RTW</v>
      </c>
      <c r="H20" s="133" t="str">
        <f>IFERROR(__xludf.DUMMYFUNCTION("""COMPUTED_VALUE"""),"")</f>
        <v/>
      </c>
      <c r="I20" s="133" t="str">
        <f>IFERROR(__xludf.DUMMYFUNCTION("""COMPUTED_VALUE"""),"")</f>
        <v/>
      </c>
      <c r="J20" s="134">
        <f>IFERROR(__xludf.DUMMYFUNCTION("""COMPUTED_VALUE"""),88.0)</f>
        <v>88</v>
      </c>
      <c r="K20" s="135">
        <f>IFERROR(__xludf.DUMMYFUNCTION("""COMPUTED_VALUE"""),88.0)</f>
        <v>88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>
      <c r="A21" s="13"/>
      <c r="B21" s="131">
        <f>IFERROR(__xludf.DUMMYFUNCTION("""COMPUTED_VALUE"""),19.0)</f>
        <v>19</v>
      </c>
      <c r="C21" s="131">
        <f>IFERROR(__xludf.DUMMYFUNCTION("""COMPUTED_VALUE"""),71.0)</f>
        <v>71</v>
      </c>
      <c r="D21" s="131" t="str">
        <f>IFERROR(__xludf.DUMMYFUNCTION("""COMPUTED_VALUE"""),"Hasan Çelik")</f>
        <v>Hasan Çelik</v>
      </c>
      <c r="E21" s="131" t="str">
        <f>IFERROR(__xludf.DUMMYFUNCTION("""COMPUTED_VALUE"""),"Türkiye")</f>
        <v>Türkiye</v>
      </c>
      <c r="F21" s="131" t="str">
        <f>IFERROR(__xludf.DUMMYFUNCTION("""COMPUTED_VALUE"""),"BMW E46")</f>
        <v>BMW E46</v>
      </c>
      <c r="G21" s="133" t="str">
        <f>IFERROR(__xludf.DUMMYFUNCTION("""COMPUTED_VALUE"""),"Carbon Drift Team ( CDT )")</f>
        <v>Carbon Drift Team ( CDT )</v>
      </c>
      <c r="H21" s="133" t="str">
        <f>IFERROR(__xludf.DUMMYFUNCTION("""COMPUTED_VALUE"""),"")</f>
        <v/>
      </c>
      <c r="I21" s="133" t="str">
        <f>IFERROR(__xludf.DUMMYFUNCTION("""COMPUTED_VALUE"""),"")</f>
        <v/>
      </c>
      <c r="J21" s="134">
        <f>IFERROR(__xludf.DUMMYFUNCTION("""COMPUTED_VALUE"""),83.0)</f>
        <v>83</v>
      </c>
      <c r="K21" s="135">
        <f>IFERROR(__xludf.DUMMYFUNCTION("""COMPUTED_VALUE"""),83.0)</f>
        <v>83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>
      <c r="A22" s="13"/>
      <c r="B22" s="131">
        <f>IFERROR(__xludf.DUMMYFUNCTION("""COMPUTED_VALUE"""),20.0)</f>
        <v>20</v>
      </c>
      <c r="C22" s="131">
        <f>IFERROR(__xludf.DUMMYFUNCTION("""COMPUTED_VALUE"""),78.0)</f>
        <v>78</v>
      </c>
      <c r="D22" s="131" t="str">
        <f>IFERROR(__xludf.DUMMYFUNCTION("""COMPUTED_VALUE"""),"William Diaz-Santiago")</f>
        <v>William Diaz-Santiago</v>
      </c>
      <c r="E22" s="131" t="str">
        <f>IFERROR(__xludf.DUMMYFUNCTION("""COMPUTED_VALUE"""),"United States")</f>
        <v>United States</v>
      </c>
      <c r="F22" s="131" t="str">
        <f>IFERROR(__xludf.DUMMYFUNCTION("""COMPUTED_VALUE"""),"BMW E46")</f>
        <v>BMW E46</v>
      </c>
      <c r="G22" s="133" t="str">
        <f>IFERROR(__xludf.DUMMYFUNCTION("""COMPUTED_VALUE"""),"Evolution of Drift")</f>
        <v>Evolution of Drift</v>
      </c>
      <c r="H22" s="133">
        <f>IFERROR(__xludf.DUMMYFUNCTION("""COMPUTED_VALUE"""),61.0)</f>
        <v>61</v>
      </c>
      <c r="I22" s="133">
        <f>IFERROR(__xludf.DUMMYFUNCTION("""COMPUTED_VALUE"""),0.25)</f>
        <v>0.25</v>
      </c>
      <c r="J22" s="134">
        <f>IFERROR(__xludf.DUMMYFUNCTION("""COMPUTED_VALUE"""),20.2)</f>
        <v>20.2</v>
      </c>
      <c r="K22" s="135">
        <f>IFERROR(__xludf.DUMMYFUNCTION("""COMPUTED_VALUE"""),81.45)</f>
        <v>81.45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>
      <c r="A23" s="13"/>
      <c r="B23" s="131">
        <f>IFERROR(__xludf.DUMMYFUNCTION("""COMPUTED_VALUE"""),21.0)</f>
        <v>21</v>
      </c>
      <c r="C23" s="131">
        <f>IFERROR(__xludf.DUMMYFUNCTION("""COMPUTED_VALUE"""),222.0)</f>
        <v>222</v>
      </c>
      <c r="D23" s="131" t="str">
        <f>IFERROR(__xludf.DUMMYFUNCTION("""COMPUTED_VALUE"""),"Edvinas Murauskas")</f>
        <v>Edvinas Murauskas</v>
      </c>
      <c r="E23" s="131" t="str">
        <f>IFERROR(__xludf.DUMMYFUNCTION("""COMPUTED_VALUE"""),"Lithuania")</f>
        <v>Lithuania</v>
      </c>
      <c r="F23" s="131" t="str">
        <f>IFERROR(__xludf.DUMMYFUNCTION("""COMPUTED_VALUE"""),"BMW E46")</f>
        <v>BMW E46</v>
      </c>
      <c r="G23" s="133" t="str">
        <f>IFERROR(__xludf.DUMMYFUNCTION("""COMPUTED_VALUE"""),"Lock 2 lock (l2l)")</f>
        <v>Lock 2 lock (l2l)</v>
      </c>
      <c r="H23" s="133">
        <f>IFERROR(__xludf.DUMMYFUNCTION("""COMPUTED_VALUE"""),54.0)</f>
        <v>54</v>
      </c>
      <c r="I23" s="133">
        <f>IFERROR(__xludf.DUMMYFUNCTION("""COMPUTED_VALUE"""),0.5)</f>
        <v>0.5</v>
      </c>
      <c r="J23" s="134">
        <f>IFERROR(__xludf.DUMMYFUNCTION("""COMPUTED_VALUE"""),24.5)</f>
        <v>24.5</v>
      </c>
      <c r="K23" s="135">
        <f>IFERROR(__xludf.DUMMYFUNCTION("""COMPUTED_VALUE"""),79.0)</f>
        <v>79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>
      <c r="A24" s="13"/>
      <c r="B24" s="131">
        <f>IFERROR(__xludf.DUMMYFUNCTION("""COMPUTED_VALUE"""),22.0)</f>
        <v>22</v>
      </c>
      <c r="C24" s="131">
        <f>IFERROR(__xludf.DUMMYFUNCTION("""COMPUTED_VALUE"""),5.0)</f>
        <v>5</v>
      </c>
      <c r="D24" s="131" t="str">
        <f>IFERROR(__xludf.DUMMYFUNCTION("""COMPUTED_VALUE"""),"Kristiāns Austriņš")</f>
        <v>Kristiāns Austriņš</v>
      </c>
      <c r="E24" s="131" t="str">
        <f>IFERROR(__xludf.DUMMYFUNCTION("""COMPUTED_VALUE"""),"Latvia")</f>
        <v>Latvia</v>
      </c>
      <c r="F24" s="131" t="str">
        <f>IFERROR(__xludf.DUMMYFUNCTION("""COMPUTED_VALUE"""),"BMW E36")</f>
        <v>BMW E36</v>
      </c>
      <c r="G24" s="132"/>
      <c r="H24" s="133">
        <f>IFERROR(__xludf.DUMMYFUNCTION("""COMPUTED_VALUE"""),10.0)</f>
        <v>10</v>
      </c>
      <c r="I24" s="133">
        <f>IFERROR(__xludf.DUMMYFUNCTION("""COMPUTED_VALUE"""),0.1)</f>
        <v>0.1</v>
      </c>
      <c r="J24" s="134">
        <f>IFERROR(__xludf.DUMMYFUNCTION("""COMPUTED_VALUE"""),64.35)</f>
        <v>64.35</v>
      </c>
      <c r="K24" s="135">
        <f>IFERROR(__xludf.DUMMYFUNCTION("""COMPUTED_VALUE"""),74.44999999999999)</f>
        <v>74.45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>
      <c r="A25" s="13"/>
      <c r="B25" s="131">
        <f>IFERROR(__xludf.DUMMYFUNCTION("""COMPUTED_VALUE"""),23.0)</f>
        <v>23</v>
      </c>
      <c r="C25" s="131">
        <f>IFERROR(__xludf.DUMMYFUNCTION("""COMPUTED_VALUE"""),88.0)</f>
        <v>88</v>
      </c>
      <c r="D25" s="131" t="str">
        <f>IFERROR(__xludf.DUMMYFUNCTION("""COMPUTED_VALUE"""),"Daniel Kvasha")</f>
        <v>Daniel Kvasha</v>
      </c>
      <c r="E25" s="131" t="str">
        <f>IFERROR(__xludf.DUMMYFUNCTION("""COMPUTED_VALUE"""),"Israel")</f>
        <v>Israel</v>
      </c>
      <c r="F25" s="131" t="str">
        <f>IFERROR(__xludf.DUMMYFUNCTION("""COMPUTED_VALUE"""),"BMW E36")</f>
        <v>BMW E36</v>
      </c>
      <c r="G25" s="133" t="str">
        <f>IFERROR(__xludf.DUMMYFUNCTION("""COMPUTED_VALUE"""),"EDF")</f>
        <v>EDF</v>
      </c>
      <c r="H25" s="133">
        <f>IFERROR(__xludf.DUMMYFUNCTION("""COMPUTED_VALUE"""),24.0)</f>
        <v>24</v>
      </c>
      <c r="I25" s="133">
        <f>IFERROR(__xludf.DUMMYFUNCTION("""COMPUTED_VALUE"""),0.25)</f>
        <v>0.25</v>
      </c>
      <c r="J25" s="134">
        <f>IFERROR(__xludf.DUMMYFUNCTION("""COMPUTED_VALUE"""),49.0)</f>
        <v>49</v>
      </c>
      <c r="K25" s="135">
        <f>IFERROR(__xludf.DUMMYFUNCTION("""COMPUTED_VALUE"""),73.25)</f>
        <v>73.25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>
      <c r="A26" s="13"/>
      <c r="B26" s="131">
        <f>IFERROR(__xludf.DUMMYFUNCTION("""COMPUTED_VALUE"""),24.0)</f>
        <v>24</v>
      </c>
      <c r="C26" s="131">
        <f>IFERROR(__xludf.DUMMYFUNCTION("""COMPUTED_VALUE"""),19.0)</f>
        <v>19</v>
      </c>
      <c r="D26" s="131" t="str">
        <f>IFERROR(__xludf.DUMMYFUNCTION("""COMPUTED_VALUE"""),"Miłosz Gawin")</f>
        <v>Miłosz Gawin</v>
      </c>
      <c r="E26" s="131" t="str">
        <f>IFERROR(__xludf.DUMMYFUNCTION("""COMPUTED_VALUE"""),"Poland")</f>
        <v>Poland</v>
      </c>
      <c r="F26" s="131" t="str">
        <f>IFERROR(__xludf.DUMMYFUNCTION("""COMPUTED_VALUE"""),"BMW E36")</f>
        <v>BMW E36</v>
      </c>
      <c r="G26" s="133" t="str">
        <f>IFERROR(__xludf.DUMMYFUNCTION("""COMPUTED_VALUE"""),"Team Delta Infinite")</f>
        <v>Team Delta Infinite</v>
      </c>
      <c r="H26" s="133">
        <f>IFERROR(__xludf.DUMMYFUNCTION("""COMPUTED_VALUE"""),24.0)</f>
        <v>24</v>
      </c>
      <c r="I26" s="133">
        <f>IFERROR(__xludf.DUMMYFUNCTION("""COMPUTED_VALUE"""),0.5)</f>
        <v>0.5</v>
      </c>
      <c r="J26" s="134">
        <f>IFERROR(__xludf.DUMMYFUNCTION("""COMPUTED_VALUE"""),48.75)</f>
        <v>48.75</v>
      </c>
      <c r="K26" s="135">
        <f>IFERROR(__xludf.DUMMYFUNCTION("""COMPUTED_VALUE"""),73.25)</f>
        <v>73.25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>
      <c r="A27" s="13"/>
      <c r="B27" s="131">
        <f>IFERROR(__xludf.DUMMYFUNCTION("""COMPUTED_VALUE"""),25.0)</f>
        <v>25</v>
      </c>
      <c r="C27" s="131">
        <f>IFERROR(__xludf.DUMMYFUNCTION("""COMPUTED_VALUE"""),767.0)</f>
        <v>767</v>
      </c>
      <c r="D27" s="131" t="str">
        <f>IFERROR(__xludf.DUMMYFUNCTION("""COMPUTED_VALUE"""),"Wiktor Janowski")</f>
        <v>Wiktor Janowski</v>
      </c>
      <c r="E27" s="131" t="str">
        <f>IFERROR(__xludf.DUMMYFUNCTION("""COMPUTED_VALUE"""),"POLAND")</f>
        <v>POLAND</v>
      </c>
      <c r="F27" s="131" t="str">
        <f>IFERROR(__xludf.DUMMYFUNCTION("""COMPUTED_VALUE"""),"BMW E36")</f>
        <v>BMW E36</v>
      </c>
      <c r="G27" s="133" t="str">
        <f>IFERROR(__xludf.DUMMYFUNCTION("""COMPUTED_VALUE"""),"SIONE HAWKY")</f>
        <v>SIONE HAWKY</v>
      </c>
      <c r="H27" s="133" t="str">
        <f>IFERROR(__xludf.DUMMYFUNCTION("""COMPUTED_VALUE"""),"")</f>
        <v/>
      </c>
      <c r="I27" s="133" t="str">
        <f>IFERROR(__xludf.DUMMYFUNCTION("""COMPUTED_VALUE"""),"")</f>
        <v/>
      </c>
      <c r="J27" s="134">
        <f>IFERROR(__xludf.DUMMYFUNCTION("""COMPUTED_VALUE"""),73.1)</f>
        <v>73.1</v>
      </c>
      <c r="K27" s="135">
        <f>IFERROR(__xludf.DUMMYFUNCTION("""COMPUTED_VALUE"""),73.1)</f>
        <v>73.1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>
      <c r="A28" s="13"/>
      <c r="B28" s="131">
        <f>IFERROR(__xludf.DUMMYFUNCTION("""COMPUTED_VALUE"""),26.0)</f>
        <v>26</v>
      </c>
      <c r="C28" s="131">
        <f>IFERROR(__xludf.DUMMYFUNCTION("""COMPUTED_VALUE"""),211.0)</f>
        <v>211</v>
      </c>
      <c r="D28" s="131" t="str">
        <f>IFERROR(__xludf.DUMMYFUNCTION("""COMPUTED_VALUE"""),"David Laczko")</f>
        <v>David Laczko</v>
      </c>
      <c r="E28" s="131" t="str">
        <f>IFERROR(__xludf.DUMMYFUNCTION("""COMPUTED_VALUE"""),"Romania")</f>
        <v>Romania</v>
      </c>
      <c r="F28" s="131" t="str">
        <f>IFERROR(__xludf.DUMMYFUNCTION("""COMPUTED_VALUE"""),"BMW E46")</f>
        <v>BMW E46</v>
      </c>
      <c r="G28" s="133" t="str">
        <f>IFERROR(__xludf.DUMMYFUNCTION("""COMPUTED_VALUE"""),"Hashira")</f>
        <v>Hashira</v>
      </c>
      <c r="H28" s="133">
        <f>IFERROR(__xludf.DUMMYFUNCTION("""COMPUTED_VALUE"""),54.0)</f>
        <v>54</v>
      </c>
      <c r="I28" s="133">
        <f>IFERROR(__xludf.DUMMYFUNCTION("""COMPUTED_VALUE"""),8.0)</f>
        <v>8</v>
      </c>
      <c r="J28" s="134" t="str">
        <f>IFERROR(__xludf.DUMMYFUNCTION("""COMPUTED_VALUE"""),"")</f>
        <v/>
      </c>
      <c r="K28" s="135">
        <f>IFERROR(__xludf.DUMMYFUNCTION("""COMPUTED_VALUE"""),62.0)</f>
        <v>62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>
      <c r="A29" s="13"/>
      <c r="B29" s="131">
        <f>IFERROR(__xludf.DUMMYFUNCTION("""COMPUTED_VALUE"""),27.0)</f>
        <v>27</v>
      </c>
      <c r="C29" s="131">
        <f>IFERROR(__xludf.DUMMYFUNCTION("""COMPUTED_VALUE"""),314.0)</f>
        <v>314</v>
      </c>
      <c r="D29" s="131" t="str">
        <f>IFERROR(__xludf.DUMMYFUNCTION("""COMPUTED_VALUE"""),"Adrian Roncero")</f>
        <v>Adrian Roncero</v>
      </c>
      <c r="E29" s="131" t="str">
        <f>IFERROR(__xludf.DUMMYFUNCTION("""COMPUTED_VALUE"""),"Spain")</f>
        <v>Spain</v>
      </c>
      <c r="F29" s="131" t="str">
        <f>IFERROR(__xludf.DUMMYFUNCTION("""COMPUTED_VALUE"""),"BMW E36")</f>
        <v>BMW E36</v>
      </c>
      <c r="G29" s="132"/>
      <c r="H29" s="133">
        <f>IFERROR(__xludf.DUMMYFUNCTION("""COMPUTED_VALUE"""),54.0)</f>
        <v>54</v>
      </c>
      <c r="I29" s="133">
        <f>IFERROR(__xludf.DUMMYFUNCTION("""COMPUTED_VALUE"""),2.0)</f>
        <v>2</v>
      </c>
      <c r="J29" s="134" t="str">
        <f>IFERROR(__xludf.DUMMYFUNCTION("""COMPUTED_VALUE"""),"")</f>
        <v/>
      </c>
      <c r="K29" s="135">
        <f>IFERROR(__xludf.DUMMYFUNCTION("""COMPUTED_VALUE"""),56.0)</f>
        <v>56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>
      <c r="A30" s="13"/>
      <c r="B30" s="131">
        <f>IFERROR(__xludf.DUMMYFUNCTION("""COMPUTED_VALUE"""),28.0)</f>
        <v>28</v>
      </c>
      <c r="C30" s="131">
        <f>IFERROR(__xludf.DUMMYFUNCTION("""COMPUTED_VALUE"""),412.0)</f>
        <v>412</v>
      </c>
      <c r="D30" s="131" t="str">
        <f>IFERROR(__xludf.DUMMYFUNCTION("""COMPUTED_VALUE"""),"Owen Ellis")</f>
        <v>Owen Ellis</v>
      </c>
      <c r="E30" s="131" t="str">
        <f>IFERROR(__xludf.DUMMYFUNCTION("""COMPUTED_VALUE"""),"United States")</f>
        <v>United States</v>
      </c>
      <c r="F30" s="131" t="str">
        <f>IFERROR(__xludf.DUMMYFUNCTION("""COMPUTED_VALUE"""),"BMW E46")</f>
        <v>BMW E46</v>
      </c>
      <c r="G30" s="133" t="str">
        <f>IFERROR(__xludf.DUMMYFUNCTION("""COMPUTED_VALUE"""),"Kaiju")</f>
        <v>Kaiju</v>
      </c>
      <c r="H30" s="133">
        <f>IFERROR(__xludf.DUMMYFUNCTION("""COMPUTED_VALUE"""),54.0)</f>
        <v>54</v>
      </c>
      <c r="I30" s="133">
        <f>IFERROR(__xludf.DUMMYFUNCTION("""COMPUTED_VALUE"""),2.0)</f>
        <v>2</v>
      </c>
      <c r="J30" s="134" t="str">
        <f>IFERROR(__xludf.DUMMYFUNCTION("""COMPUTED_VALUE"""),"")</f>
        <v/>
      </c>
      <c r="K30" s="135">
        <f>IFERROR(__xludf.DUMMYFUNCTION("""COMPUTED_VALUE"""),56.0)</f>
        <v>56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>
      <c r="A31" s="13"/>
      <c r="B31" s="131">
        <f>IFERROR(__xludf.DUMMYFUNCTION("""COMPUTED_VALUE"""),29.0)</f>
        <v>29</v>
      </c>
      <c r="C31" s="131">
        <f>IFERROR(__xludf.DUMMYFUNCTION("""COMPUTED_VALUE"""),213.0)</f>
        <v>213</v>
      </c>
      <c r="D31" s="131" t="str">
        <f>IFERROR(__xludf.DUMMYFUNCTION("""COMPUTED_VALUE"""),"Damian Czerwiec")</f>
        <v>Damian Czerwiec</v>
      </c>
      <c r="E31" s="131" t="str">
        <f>IFERROR(__xludf.DUMMYFUNCTION("""COMPUTED_VALUE"""),"Poland")</f>
        <v>Poland</v>
      </c>
      <c r="F31" s="131" t="str">
        <f>IFERROR(__xludf.DUMMYFUNCTION("""COMPUTED_VALUE"""),"BMW E36")</f>
        <v>BMW E36</v>
      </c>
      <c r="G31" s="133" t="str">
        <f>IFERROR(__xludf.DUMMYFUNCTION("""COMPUTED_VALUE"""),"Sione Hawky")</f>
        <v>Sione Hawky</v>
      </c>
      <c r="H31" s="133" t="str">
        <f>IFERROR(__xludf.DUMMYFUNCTION("""COMPUTED_VALUE"""),"")</f>
        <v/>
      </c>
      <c r="I31" s="133" t="str">
        <f>IFERROR(__xludf.DUMMYFUNCTION("""COMPUTED_VALUE"""),"")</f>
        <v/>
      </c>
      <c r="J31" s="134">
        <f>IFERROR(__xludf.DUMMYFUNCTION("""COMPUTED_VALUE"""),56.0)</f>
        <v>56</v>
      </c>
      <c r="K31" s="135">
        <f>IFERROR(__xludf.DUMMYFUNCTION("""COMPUTED_VALUE"""),56.0)</f>
        <v>56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>
      <c r="A32" s="13"/>
      <c r="B32" s="131">
        <f>IFERROR(__xludf.DUMMYFUNCTION("""COMPUTED_VALUE"""),30.0)</f>
        <v>30</v>
      </c>
      <c r="C32" s="131">
        <f>IFERROR(__xludf.DUMMYFUNCTION("""COMPUTED_VALUE"""),111.0)</f>
        <v>111</v>
      </c>
      <c r="D32" s="131" t="str">
        <f>IFERROR(__xludf.DUMMYFUNCTION("""COMPUTED_VALUE"""),"Zydrunas Petkevicius")</f>
        <v>Zydrunas Petkevicius</v>
      </c>
      <c r="E32" s="131" t="str">
        <f>IFERROR(__xludf.DUMMYFUNCTION("""COMPUTED_VALUE"""),"Norway")</f>
        <v>Norway</v>
      </c>
      <c r="F32" s="131" t="str">
        <f>IFERROR(__xludf.DUMMYFUNCTION("""COMPUTED_VALUE"""),"BMW E36")</f>
        <v>BMW E36</v>
      </c>
      <c r="G32" s="133" t="str">
        <f>IFERROR(__xludf.DUMMYFUNCTION("""COMPUTED_VALUE"""),"NDC")</f>
        <v>NDC</v>
      </c>
      <c r="H32" s="133">
        <f>IFERROR(__xludf.DUMMYFUNCTION("""COMPUTED_VALUE"""),54.0)</f>
        <v>54</v>
      </c>
      <c r="I32" s="133">
        <f>IFERROR(__xludf.DUMMYFUNCTION("""COMPUTED_VALUE"""),1.0)</f>
        <v>1</v>
      </c>
      <c r="J32" s="134" t="str">
        <f>IFERROR(__xludf.DUMMYFUNCTION("""COMPUTED_VALUE"""),"")</f>
        <v/>
      </c>
      <c r="K32" s="135">
        <f>IFERROR(__xludf.DUMMYFUNCTION("""COMPUTED_VALUE"""),55.0)</f>
        <v>55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>
      <c r="A33" s="13"/>
      <c r="B33" s="131">
        <f>IFERROR(__xludf.DUMMYFUNCTION("""COMPUTED_VALUE"""),31.0)</f>
        <v>31</v>
      </c>
      <c r="C33" s="131">
        <f>IFERROR(__xludf.DUMMYFUNCTION("""COMPUTED_VALUE"""),444.0)</f>
        <v>444</v>
      </c>
      <c r="D33" s="131" t="str">
        <f>IFERROR(__xludf.DUMMYFUNCTION("""COMPUTED_VALUE"""),"Wojciech Denis")</f>
        <v>Wojciech Denis</v>
      </c>
      <c r="E33" s="131" t="str">
        <f>IFERROR(__xludf.DUMMYFUNCTION("""COMPUTED_VALUE"""),"Poland")</f>
        <v>Poland</v>
      </c>
      <c r="F33" s="131" t="str">
        <f>IFERROR(__xludf.DUMMYFUNCTION("""COMPUTED_VALUE"""),"BMW E36")</f>
        <v>BMW E36</v>
      </c>
      <c r="G33" s="133" t="str">
        <f>IFERROR(__xludf.DUMMYFUNCTION("""COMPUTED_VALUE"""),"Team Delta Infinite")</f>
        <v>Team Delta Infinite</v>
      </c>
      <c r="H33" s="133">
        <f>IFERROR(__xludf.DUMMYFUNCTION("""COMPUTED_VALUE"""),54.0)</f>
        <v>54</v>
      </c>
      <c r="I33" s="133">
        <f>IFERROR(__xludf.DUMMYFUNCTION("""COMPUTED_VALUE"""),0.5)</f>
        <v>0.5</v>
      </c>
      <c r="J33" s="134" t="str">
        <f>IFERROR(__xludf.DUMMYFUNCTION("""COMPUTED_VALUE"""),"")</f>
        <v/>
      </c>
      <c r="K33" s="135">
        <f>IFERROR(__xludf.DUMMYFUNCTION("""COMPUTED_VALUE"""),54.5)</f>
        <v>54.5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>
      <c r="A34" s="13"/>
      <c r="B34" s="131">
        <f>IFERROR(__xludf.DUMMYFUNCTION("""COMPUTED_VALUE"""),32.0)</f>
        <v>32</v>
      </c>
      <c r="C34" s="131">
        <f>IFERROR(__xludf.DUMMYFUNCTION("""COMPUTED_VALUE"""),10.0)</f>
        <v>10</v>
      </c>
      <c r="D34" s="131" t="str">
        <f>IFERROR(__xludf.DUMMYFUNCTION("""COMPUTED_VALUE"""),"Riku Ahlgren")</f>
        <v>Riku Ahlgren</v>
      </c>
      <c r="E34" s="131" t="str">
        <f>IFERROR(__xludf.DUMMYFUNCTION("""COMPUTED_VALUE"""),"Finland")</f>
        <v>Finland</v>
      </c>
      <c r="F34" s="131" t="str">
        <f>IFERROR(__xludf.DUMMYFUNCTION("""COMPUTED_VALUE"""),"BMW E36")</f>
        <v>BMW E36</v>
      </c>
      <c r="G34" s="133" t="str">
        <f>IFERROR(__xludf.DUMMYFUNCTION("""COMPUTED_VALUE"""),"Reckless")</f>
        <v>Reckless</v>
      </c>
      <c r="H34" s="133" t="str">
        <f>IFERROR(__xludf.DUMMYFUNCTION("""COMPUTED_VALUE"""),"")</f>
        <v/>
      </c>
      <c r="I34" s="133" t="str">
        <f>IFERROR(__xludf.DUMMYFUNCTION("""COMPUTED_VALUE"""),"")</f>
        <v/>
      </c>
      <c r="J34" s="134">
        <f>IFERROR(__xludf.DUMMYFUNCTION("""COMPUTED_VALUE"""),54.5)</f>
        <v>54.5</v>
      </c>
      <c r="K34" s="135">
        <f>IFERROR(__xludf.DUMMYFUNCTION("""COMPUTED_VALUE"""),54.5)</f>
        <v>54.5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>
      <c r="A35" s="13"/>
      <c r="B35" s="131">
        <f>IFERROR(__xludf.DUMMYFUNCTION("""COMPUTED_VALUE"""),33.0)</f>
        <v>33</v>
      </c>
      <c r="C35" s="131">
        <f>IFERROR(__xludf.DUMMYFUNCTION("""COMPUTED_VALUE"""),93.0)</f>
        <v>93</v>
      </c>
      <c r="D35" s="131" t="str">
        <f>IFERROR(__xludf.DUMMYFUNCTION("""COMPUTED_VALUE"""),"Kostiantyn Sviripa")</f>
        <v>Kostiantyn Sviripa</v>
      </c>
      <c r="E35" s="131" t="str">
        <f>IFERROR(__xludf.DUMMYFUNCTION("""COMPUTED_VALUE"""),"Ukraine")</f>
        <v>Ukraine</v>
      </c>
      <c r="F35" s="131" t="str">
        <f>IFERROR(__xludf.DUMMYFUNCTION("""COMPUTED_VALUE"""),"BMW E36")</f>
        <v>BMW E36</v>
      </c>
      <c r="G35" s="133" t="str">
        <f>IFERROR(__xludf.DUMMYFUNCTION("""COMPUTED_VALUE"""),"BSRig")</f>
        <v>BSRig</v>
      </c>
      <c r="H35" s="133" t="str">
        <f>IFERROR(__xludf.DUMMYFUNCTION("""COMPUTED_VALUE"""),"")</f>
        <v/>
      </c>
      <c r="I35" s="133" t="str">
        <f>IFERROR(__xludf.DUMMYFUNCTION("""COMPUTED_VALUE"""),"")</f>
        <v/>
      </c>
      <c r="J35" s="134">
        <f>IFERROR(__xludf.DUMMYFUNCTION("""COMPUTED_VALUE"""),54.5)</f>
        <v>54.5</v>
      </c>
      <c r="K35" s="135">
        <f>IFERROR(__xludf.DUMMYFUNCTION("""COMPUTED_VALUE"""),54.5)</f>
        <v>54.5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>
      <c r="A36" s="13"/>
      <c r="B36" s="131">
        <f>IFERROR(__xludf.DUMMYFUNCTION("""COMPUTED_VALUE"""),34.0)</f>
        <v>34</v>
      </c>
      <c r="C36" s="131">
        <f>IFERROR(__xludf.DUMMYFUNCTION("""COMPUTED_VALUE"""),67.0)</f>
        <v>67</v>
      </c>
      <c r="D36" s="131" t="str">
        <f>IFERROR(__xludf.DUMMYFUNCTION("""COMPUTED_VALUE"""),"Michael Duran")</f>
        <v>Michael Duran</v>
      </c>
      <c r="E36" s="131" t="str">
        <f>IFERROR(__xludf.DUMMYFUNCTION("""COMPUTED_VALUE"""),"Spain")</f>
        <v>Spain</v>
      </c>
      <c r="F36" s="131" t="str">
        <f>IFERROR(__xludf.DUMMYFUNCTION("""COMPUTED_VALUE"""),"BMW E36")</f>
        <v>BMW E36</v>
      </c>
      <c r="G36" s="133" t="str">
        <f>IFERROR(__xludf.DUMMYFUNCTION("""COMPUTED_VALUE"""),"Eskuko Red")</f>
        <v>Eskuko Red</v>
      </c>
      <c r="H36" s="133" t="str">
        <f>IFERROR(__xludf.DUMMYFUNCTION("""COMPUTED_VALUE"""),"")</f>
        <v/>
      </c>
      <c r="I36" s="133" t="str">
        <f>IFERROR(__xludf.DUMMYFUNCTION("""COMPUTED_VALUE"""),"")</f>
        <v/>
      </c>
      <c r="J36" s="134">
        <f>IFERROR(__xludf.DUMMYFUNCTION("""COMPUTED_VALUE"""),54.25)</f>
        <v>54.25</v>
      </c>
      <c r="K36" s="135">
        <f>IFERROR(__xludf.DUMMYFUNCTION("""COMPUTED_VALUE"""),54.25)</f>
        <v>54.25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>
      <c r="A37" s="13"/>
      <c r="B37" s="131">
        <f>IFERROR(__xludf.DUMMYFUNCTION("""COMPUTED_VALUE"""),35.0)</f>
        <v>35</v>
      </c>
      <c r="C37" s="131">
        <f>IFERROR(__xludf.DUMMYFUNCTION("""COMPUTED_VALUE"""),97.0)</f>
        <v>97</v>
      </c>
      <c r="D37" s="131" t="str">
        <f>IFERROR(__xludf.DUMMYFUNCTION("""COMPUTED_VALUE"""),"Ian Johnson")</f>
        <v>Ian Johnson</v>
      </c>
      <c r="E37" s="131" t="str">
        <f>IFERROR(__xludf.DUMMYFUNCTION("""COMPUTED_VALUE"""),"Ireland")</f>
        <v>Ireland</v>
      </c>
      <c r="F37" s="131" t="str">
        <f>IFERROR(__xludf.DUMMYFUNCTION("""COMPUTED_VALUE"""),"BMW E46")</f>
        <v>BMW E46</v>
      </c>
      <c r="G37" s="133" t="str">
        <f>IFERROR(__xludf.DUMMYFUNCTION("""COMPUTED_VALUE"""),"TEAM AWAKE")</f>
        <v>TEAM AWAKE</v>
      </c>
      <c r="H37" s="133" t="str">
        <f>IFERROR(__xludf.DUMMYFUNCTION("""COMPUTED_VALUE"""),"")</f>
        <v/>
      </c>
      <c r="I37" s="133" t="str">
        <f>IFERROR(__xludf.DUMMYFUNCTION("""COMPUTED_VALUE"""),"")</f>
        <v/>
      </c>
      <c r="J37" s="134">
        <f>IFERROR(__xludf.DUMMYFUNCTION("""COMPUTED_VALUE"""),51.0)</f>
        <v>51</v>
      </c>
      <c r="K37" s="135">
        <f>IFERROR(__xludf.DUMMYFUNCTION("""COMPUTED_VALUE"""),51.0)</f>
        <v>51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13"/>
      <c r="B38" s="131">
        <f>IFERROR(__xludf.DUMMYFUNCTION("""COMPUTED_VALUE"""),36.0)</f>
        <v>36</v>
      </c>
      <c r="C38" s="131">
        <f>IFERROR(__xludf.DUMMYFUNCTION("""COMPUTED_VALUE"""),22.0)</f>
        <v>22</v>
      </c>
      <c r="D38" s="131" t="str">
        <f>IFERROR(__xludf.DUMMYFUNCTION("""COMPUTED_VALUE"""),"Waleed Taha")</f>
        <v>Waleed Taha</v>
      </c>
      <c r="E38" s="131" t="str">
        <f>IFERROR(__xludf.DUMMYFUNCTION("""COMPUTED_VALUE"""),"Jordan")</f>
        <v>Jordan</v>
      </c>
      <c r="F38" s="131" t="str">
        <f>IFERROR(__xludf.DUMMYFUNCTION("""COMPUTED_VALUE"""),"BMW E36")</f>
        <v>BMW E36</v>
      </c>
      <c r="G38" s="132"/>
      <c r="H38" s="133" t="str">
        <f>IFERROR(__xludf.DUMMYFUNCTION("""COMPUTED_VALUE"""),"")</f>
        <v/>
      </c>
      <c r="I38" s="133" t="str">
        <f>IFERROR(__xludf.DUMMYFUNCTION("""COMPUTED_VALUE"""),"")</f>
        <v/>
      </c>
      <c r="J38" s="134">
        <f>IFERROR(__xludf.DUMMYFUNCTION("""COMPUTED_VALUE"""),50.0)</f>
        <v>50</v>
      </c>
      <c r="K38" s="135">
        <f>IFERROR(__xludf.DUMMYFUNCTION("""COMPUTED_VALUE"""),50.0)</f>
        <v>50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>
      <c r="A39" s="13"/>
      <c r="B39" s="131">
        <f>IFERROR(__xludf.DUMMYFUNCTION("""COMPUTED_VALUE"""),37.0)</f>
        <v>37</v>
      </c>
      <c r="C39" s="131">
        <f>IFERROR(__xludf.DUMMYFUNCTION("""COMPUTED_VALUE"""),333.0)</f>
        <v>333</v>
      </c>
      <c r="D39" s="131" t="str">
        <f>IFERROR(__xludf.DUMMYFUNCTION("""COMPUTED_VALUE"""),"Bartosz Gorgoń")</f>
        <v>Bartosz Gorgoń</v>
      </c>
      <c r="E39" s="131" t="str">
        <f>IFERROR(__xludf.DUMMYFUNCTION("""COMPUTED_VALUE"""),"Poland")</f>
        <v>Poland</v>
      </c>
      <c r="F39" s="131" t="str">
        <f>IFERROR(__xludf.DUMMYFUNCTION("""COMPUTED_VALUE"""),"BMW E46")</f>
        <v>BMW E46</v>
      </c>
      <c r="G39" s="132"/>
      <c r="H39" s="133" t="str">
        <f>IFERROR(__xludf.DUMMYFUNCTION("""COMPUTED_VALUE"""),"")</f>
        <v/>
      </c>
      <c r="I39" s="133" t="str">
        <f>IFERROR(__xludf.DUMMYFUNCTION("""COMPUTED_VALUE"""),"")</f>
        <v/>
      </c>
      <c r="J39" s="134">
        <f>IFERROR(__xludf.DUMMYFUNCTION("""COMPUTED_VALUE"""),48.75)</f>
        <v>48.75</v>
      </c>
      <c r="K39" s="135">
        <f>IFERROR(__xludf.DUMMYFUNCTION("""COMPUTED_VALUE"""),48.75)</f>
        <v>48.75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>
      <c r="A40" s="13"/>
      <c r="B40" s="131">
        <f>IFERROR(__xludf.DUMMYFUNCTION("""COMPUTED_VALUE"""),38.0)</f>
        <v>38</v>
      </c>
      <c r="C40" s="131">
        <f>IFERROR(__xludf.DUMMYFUNCTION("""COMPUTED_VALUE"""),469.0)</f>
        <v>469</v>
      </c>
      <c r="D40" s="131" t="str">
        <f>IFERROR(__xludf.DUMMYFUNCTION("""COMPUTED_VALUE"""),"Elgars Bambāns")</f>
        <v>Elgars Bambāns</v>
      </c>
      <c r="E40" s="131" t="str">
        <f>IFERROR(__xludf.DUMMYFUNCTION("""COMPUTED_VALUE"""),"Latvia")</f>
        <v>Latvia</v>
      </c>
      <c r="F40" s="131" t="str">
        <f>IFERROR(__xludf.DUMMYFUNCTION("""COMPUTED_VALUE"""),"BMW E46")</f>
        <v>BMW E46</v>
      </c>
      <c r="G40" s="133" t="str">
        <f>IFERROR(__xludf.DUMMYFUNCTION("""COMPUTED_VALUE"""),"Moist Drift Design")</f>
        <v>Moist Drift Design</v>
      </c>
      <c r="H40" s="133">
        <f>IFERROR(__xludf.DUMMYFUNCTION("""COMPUTED_VALUE"""),10.0)</f>
        <v>10</v>
      </c>
      <c r="I40" s="133">
        <f>IFERROR(__xludf.DUMMYFUNCTION("""COMPUTED_VALUE"""),0.1)</f>
        <v>0.1</v>
      </c>
      <c r="J40" s="134">
        <f>IFERROR(__xludf.DUMMYFUNCTION("""COMPUTED_VALUE"""),34.35)</f>
        <v>34.35</v>
      </c>
      <c r="K40" s="135">
        <f>IFERROR(__xludf.DUMMYFUNCTION("""COMPUTED_VALUE"""),44.45)</f>
        <v>44.45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>
      <c r="A41" s="13"/>
      <c r="B41" s="131">
        <f>IFERROR(__xludf.DUMMYFUNCTION("""COMPUTED_VALUE"""),39.0)</f>
        <v>39</v>
      </c>
      <c r="C41" s="131">
        <f>IFERROR(__xludf.DUMMYFUNCTION("""COMPUTED_VALUE"""),4.0)</f>
        <v>4</v>
      </c>
      <c r="D41" s="131" t="str">
        <f>IFERROR(__xludf.DUMMYFUNCTION("""COMPUTED_VALUE"""),"Paweł Kałużka")</f>
        <v>Paweł Kałużka</v>
      </c>
      <c r="E41" s="131" t="str">
        <f>IFERROR(__xludf.DUMMYFUNCTION("""COMPUTED_VALUE"""),"Poland")</f>
        <v>Poland</v>
      </c>
      <c r="F41" s="131" t="str">
        <f>IFERROR(__xludf.DUMMYFUNCTION("""COMPUTED_VALUE"""),"BMW E36")</f>
        <v>BMW E36</v>
      </c>
      <c r="G41" s="132"/>
      <c r="H41" s="133">
        <f>IFERROR(__xludf.DUMMYFUNCTION("""COMPUTED_VALUE"""),24.0)</f>
        <v>24</v>
      </c>
      <c r="I41" s="133">
        <f>IFERROR(__xludf.DUMMYFUNCTION("""COMPUTED_VALUE"""),0.25)</f>
        <v>0.25</v>
      </c>
      <c r="J41" s="134">
        <f>IFERROR(__xludf.DUMMYFUNCTION("""COMPUTED_VALUE"""),20.2)</f>
        <v>20.2</v>
      </c>
      <c r="K41" s="135">
        <f>IFERROR(__xludf.DUMMYFUNCTION("""COMPUTED_VALUE"""),44.45)</f>
        <v>44.45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>
      <c r="A42" s="13"/>
      <c r="B42" s="131">
        <f>IFERROR(__xludf.DUMMYFUNCTION("""COMPUTED_VALUE"""),40.0)</f>
        <v>40</v>
      </c>
      <c r="C42" s="131">
        <f>IFERROR(__xludf.DUMMYFUNCTION("""COMPUTED_VALUE"""),474.0)</f>
        <v>474</v>
      </c>
      <c r="D42" s="131" t="str">
        <f>IFERROR(__xludf.DUMMYFUNCTION("""COMPUTED_VALUE"""),"Balogh Ákos")</f>
        <v>Balogh Ákos</v>
      </c>
      <c r="E42" s="131" t="str">
        <f>IFERROR(__xludf.DUMMYFUNCTION("""COMPUTED_VALUE"""),"Hungary")</f>
        <v>Hungary</v>
      </c>
      <c r="F42" s="131" t="str">
        <f>IFERROR(__xludf.DUMMYFUNCTION("""COMPUTED_VALUE"""),"BMW E36")</f>
        <v>BMW E36</v>
      </c>
      <c r="G42" s="133" t="str">
        <f>IFERROR(__xludf.DUMMYFUNCTION("""COMPUTED_VALUE"""),"MSK")</f>
        <v>MSK</v>
      </c>
      <c r="H42" s="133" t="str">
        <f>IFERROR(__xludf.DUMMYFUNCTION("""COMPUTED_VALUE"""),"")</f>
        <v/>
      </c>
      <c r="I42" s="133" t="str">
        <f>IFERROR(__xludf.DUMMYFUNCTION("""COMPUTED_VALUE"""),"")</f>
        <v/>
      </c>
      <c r="J42" s="134">
        <f>IFERROR(__xludf.DUMMYFUNCTION("""COMPUTED_VALUE"""),35.1)</f>
        <v>35.1</v>
      </c>
      <c r="K42" s="135">
        <f>IFERROR(__xludf.DUMMYFUNCTION("""COMPUTED_VALUE"""),35.1)</f>
        <v>35.1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>
      <c r="A43" s="13"/>
      <c r="B43" s="131">
        <f>IFERROR(__xludf.DUMMYFUNCTION("""COMPUTED_VALUE"""),41.0)</f>
        <v>41</v>
      </c>
      <c r="C43" s="131">
        <f>IFERROR(__xludf.DUMMYFUNCTION("""COMPUTED_VALUE"""),48.0)</f>
        <v>48</v>
      </c>
      <c r="D43" s="131" t="str">
        <f>IFERROR(__xludf.DUMMYFUNCTION("""COMPUTED_VALUE"""),"Mantas Savickas")</f>
        <v>Mantas Savickas</v>
      </c>
      <c r="E43" s="131" t="str">
        <f>IFERROR(__xludf.DUMMYFUNCTION("""COMPUTED_VALUE"""),"Lithuania")</f>
        <v>Lithuania</v>
      </c>
      <c r="F43" s="131" t="str">
        <f>IFERROR(__xludf.DUMMYFUNCTION("""COMPUTED_VALUE"""),"BMW E36")</f>
        <v>BMW E36</v>
      </c>
      <c r="G43" s="132"/>
      <c r="H43" s="133">
        <f>IFERROR(__xludf.DUMMYFUNCTION("""COMPUTED_VALUE"""),24.0)</f>
        <v>24</v>
      </c>
      <c r="I43" s="133">
        <f>IFERROR(__xludf.DUMMYFUNCTION("""COMPUTED_VALUE"""),0.5)</f>
        <v>0.5</v>
      </c>
      <c r="J43" s="134">
        <f>IFERROR(__xludf.DUMMYFUNCTION("""COMPUTED_VALUE"""),10.1)</f>
        <v>10.1</v>
      </c>
      <c r="K43" s="135">
        <f>IFERROR(__xludf.DUMMYFUNCTION("""COMPUTED_VALUE"""),34.6)</f>
        <v>34.6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>
      <c r="A44" s="13"/>
      <c r="B44" s="131">
        <f>IFERROR(__xludf.DUMMYFUNCTION("""COMPUTED_VALUE"""),42.0)</f>
        <v>42</v>
      </c>
      <c r="C44" s="131">
        <f>IFERROR(__xludf.DUMMYFUNCTION("""COMPUTED_VALUE"""),42.0)</f>
        <v>42</v>
      </c>
      <c r="D44" s="131" t="str">
        <f>IFERROR(__xludf.DUMMYFUNCTION("""COMPUTED_VALUE"""),"Kārlis Milužs")</f>
        <v>Kārlis Milužs</v>
      </c>
      <c r="E44" s="131" t="str">
        <f>IFERROR(__xludf.DUMMYFUNCTION("""COMPUTED_VALUE"""),"Latvia")</f>
        <v>Latvia</v>
      </c>
      <c r="F44" s="131" t="str">
        <f>IFERROR(__xludf.DUMMYFUNCTION("""COMPUTED_VALUE"""),"BMW E36")</f>
        <v>BMW E36</v>
      </c>
      <c r="G44" s="133" t="str">
        <f>IFERROR(__xludf.DUMMYFUNCTION("""COMPUTED_VALUE"""),"Drifta Halle")</f>
        <v>Drifta Halle</v>
      </c>
      <c r="H44" s="133" t="str">
        <f>IFERROR(__xludf.DUMMYFUNCTION("""COMPUTED_VALUE"""),"")</f>
        <v/>
      </c>
      <c r="I44" s="133" t="str">
        <f>IFERROR(__xludf.DUMMYFUNCTION("""COMPUTED_VALUE"""),"")</f>
        <v/>
      </c>
      <c r="J44" s="134">
        <f>IFERROR(__xludf.DUMMYFUNCTION("""COMPUTED_VALUE"""),34.35)</f>
        <v>34.35</v>
      </c>
      <c r="K44" s="135">
        <f>IFERROR(__xludf.DUMMYFUNCTION("""COMPUTED_VALUE"""),34.35)</f>
        <v>34.35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13"/>
      <c r="B45" s="131">
        <f>IFERROR(__xludf.DUMMYFUNCTION("""COMPUTED_VALUE"""),43.0)</f>
        <v>43</v>
      </c>
      <c r="C45" s="131">
        <f>IFERROR(__xludf.DUMMYFUNCTION("""COMPUTED_VALUE"""),24.0)</f>
        <v>24</v>
      </c>
      <c r="D45" s="131" t="str">
        <f>IFERROR(__xludf.DUMMYFUNCTION("""COMPUTED_VALUE"""),"Dāvis Rastoks")</f>
        <v>Dāvis Rastoks</v>
      </c>
      <c r="E45" s="131" t="str">
        <f>IFERROR(__xludf.DUMMYFUNCTION("""COMPUTED_VALUE"""),"Latvia")</f>
        <v>Latvia</v>
      </c>
      <c r="F45" s="131" t="str">
        <f>IFERROR(__xludf.DUMMYFUNCTION("""COMPUTED_VALUE"""),"BMW E36")</f>
        <v>BMW E36</v>
      </c>
      <c r="G45" s="132"/>
      <c r="H45" s="133">
        <f>IFERROR(__xludf.DUMMYFUNCTION("""COMPUTED_VALUE"""),10.0)</f>
        <v>10</v>
      </c>
      <c r="I45" s="133">
        <f>IFERROR(__xludf.DUMMYFUNCTION("""COMPUTED_VALUE"""),0.1)</f>
        <v>0.1</v>
      </c>
      <c r="J45" s="134">
        <f>IFERROR(__xludf.DUMMYFUNCTION("""COMPUTED_VALUE"""),20.2)</f>
        <v>20.2</v>
      </c>
      <c r="K45" s="135">
        <f>IFERROR(__xludf.DUMMYFUNCTION("""COMPUTED_VALUE"""),30.299999999999997)</f>
        <v>30.3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13"/>
      <c r="B46" s="131">
        <f>IFERROR(__xludf.DUMMYFUNCTION("""COMPUTED_VALUE"""),44.0)</f>
        <v>44</v>
      </c>
      <c r="C46" s="131">
        <f>IFERROR(__xludf.DUMMYFUNCTION("""COMPUTED_VALUE"""),64.0)</f>
        <v>64</v>
      </c>
      <c r="D46" s="131" t="str">
        <f>IFERROR(__xludf.DUMMYFUNCTION("""COMPUTED_VALUE"""),"Maciej Flisiński")</f>
        <v>Maciej Flisiński</v>
      </c>
      <c r="E46" s="131" t="str">
        <f>IFERROR(__xludf.DUMMYFUNCTION("""COMPUTED_VALUE"""),"Poland")</f>
        <v>Poland</v>
      </c>
      <c r="F46" s="131" t="str">
        <f>IFERROR(__xludf.DUMMYFUNCTION("""COMPUTED_VALUE"""),"BMW E36")</f>
        <v>BMW E36</v>
      </c>
      <c r="G46" s="133" t="str">
        <f>IFERROR(__xludf.DUMMYFUNCTION("""COMPUTED_VALUE"""),"BSRig")</f>
        <v>BSRig</v>
      </c>
      <c r="H46" s="133">
        <f>IFERROR(__xludf.DUMMYFUNCTION("""COMPUTED_VALUE"""),10.0)</f>
        <v>10</v>
      </c>
      <c r="I46" s="133">
        <f>IFERROR(__xludf.DUMMYFUNCTION("""COMPUTED_VALUE"""),0.1)</f>
        <v>0.1</v>
      </c>
      <c r="J46" s="134">
        <f>IFERROR(__xludf.DUMMYFUNCTION("""COMPUTED_VALUE"""),20.2)</f>
        <v>20.2</v>
      </c>
      <c r="K46" s="135">
        <f>IFERROR(__xludf.DUMMYFUNCTION("""COMPUTED_VALUE"""),30.299999999999997)</f>
        <v>30.3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>
      <c r="A47" s="13"/>
      <c r="B47" s="131">
        <f>IFERROR(__xludf.DUMMYFUNCTION("""COMPUTED_VALUE"""),45.0)</f>
        <v>45</v>
      </c>
      <c r="C47" s="131">
        <f>IFERROR(__xludf.DUMMYFUNCTION("""COMPUTED_VALUE"""),8.0)</f>
        <v>8</v>
      </c>
      <c r="D47" s="131" t="str">
        <f>IFERROR(__xludf.DUMMYFUNCTION("""COMPUTED_VALUE"""),"Gundars Gūte")</f>
        <v>Gundars Gūte</v>
      </c>
      <c r="E47" s="131" t="str">
        <f>IFERROR(__xludf.DUMMYFUNCTION("""COMPUTED_VALUE"""),"Latvia")</f>
        <v>Latvia</v>
      </c>
      <c r="F47" s="131" t="str">
        <f>IFERROR(__xludf.DUMMYFUNCTION("""COMPUTED_VALUE"""),"BMW E46")</f>
        <v>BMW E46</v>
      </c>
      <c r="G47" s="132"/>
      <c r="H47" s="133">
        <f>IFERROR(__xludf.DUMMYFUNCTION("""COMPUTED_VALUE"""),10.0)</f>
        <v>10</v>
      </c>
      <c r="I47" s="133">
        <f>IFERROR(__xludf.DUMMYFUNCTION("""COMPUTED_VALUE"""),0.1)</f>
        <v>0.1</v>
      </c>
      <c r="J47" s="134">
        <f>IFERROR(__xludf.DUMMYFUNCTION("""COMPUTED_VALUE"""),20.2)</f>
        <v>20.2</v>
      </c>
      <c r="K47" s="135">
        <f>IFERROR(__xludf.DUMMYFUNCTION("""COMPUTED_VALUE"""),30.299999999999997)</f>
        <v>30.3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>
      <c r="A48" s="13"/>
      <c r="B48" s="131">
        <f>IFERROR(__xludf.DUMMYFUNCTION("""COMPUTED_VALUE"""),46.0)</f>
        <v>46</v>
      </c>
      <c r="C48" s="131">
        <f>IFERROR(__xludf.DUMMYFUNCTION("""COMPUTED_VALUE"""),369.0)</f>
        <v>369</v>
      </c>
      <c r="D48" s="131" t="str">
        <f>IFERROR(__xludf.DUMMYFUNCTION("""COMPUTED_VALUE"""),"Aivis Bambāns")</f>
        <v>Aivis Bambāns</v>
      </c>
      <c r="E48" s="131" t="str">
        <f>IFERROR(__xludf.DUMMYFUNCTION("""COMPUTED_VALUE"""),"Latvia")</f>
        <v>Latvia</v>
      </c>
      <c r="F48" s="131" t="str">
        <f>IFERROR(__xludf.DUMMYFUNCTION("""COMPUTED_VALUE"""),"BMW E46")</f>
        <v>BMW E46</v>
      </c>
      <c r="G48" s="133" t="str">
        <f>IFERROR(__xludf.DUMMYFUNCTION("""COMPUTED_VALUE"""),"Moist Drift Design")</f>
        <v>Moist Drift Design</v>
      </c>
      <c r="H48" s="133">
        <f>IFERROR(__xludf.DUMMYFUNCTION("""COMPUTED_VALUE"""),10.0)</f>
        <v>10</v>
      </c>
      <c r="I48" s="133">
        <f>IFERROR(__xludf.DUMMYFUNCTION("""COMPUTED_VALUE"""),0.1)</f>
        <v>0.1</v>
      </c>
      <c r="J48" s="134">
        <f>IFERROR(__xludf.DUMMYFUNCTION("""COMPUTED_VALUE"""),20.2)</f>
        <v>20.2</v>
      </c>
      <c r="K48" s="135">
        <f>IFERROR(__xludf.DUMMYFUNCTION("""COMPUTED_VALUE"""),30.299999999999997)</f>
        <v>30.3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>
      <c r="A49" s="13"/>
      <c r="B49" s="131">
        <f>IFERROR(__xludf.DUMMYFUNCTION("""COMPUTED_VALUE"""),47.0)</f>
        <v>47</v>
      </c>
      <c r="C49" s="131">
        <f>IFERROR(__xludf.DUMMYFUNCTION("""COMPUTED_VALUE"""),36.0)</f>
        <v>36</v>
      </c>
      <c r="D49" s="131" t="str">
        <f>IFERROR(__xludf.DUMMYFUNCTION("""COMPUTED_VALUE"""),"Yurii Kit")</f>
        <v>Yurii Kit</v>
      </c>
      <c r="E49" s="131" t="str">
        <f>IFERROR(__xludf.DUMMYFUNCTION("""COMPUTED_VALUE"""),"Ukraine")</f>
        <v>Ukraine</v>
      </c>
      <c r="F49" s="131" t="str">
        <f>IFERROR(__xludf.DUMMYFUNCTION("""COMPUTED_VALUE"""),"BMW E36")</f>
        <v>BMW E36</v>
      </c>
      <c r="G49" s="133" t="str">
        <f>IFERROR(__xludf.DUMMYFUNCTION("""COMPUTED_VALUE"""),"Duhari Racing Team")</f>
        <v>Duhari Racing Team</v>
      </c>
      <c r="H49" s="133" t="str">
        <f>IFERROR(__xludf.DUMMYFUNCTION("""COMPUTED_VALUE"""),"")</f>
        <v/>
      </c>
      <c r="I49" s="133" t="str">
        <f>IFERROR(__xludf.DUMMYFUNCTION("""COMPUTED_VALUE"""),"")</f>
        <v/>
      </c>
      <c r="J49" s="134">
        <f>IFERROR(__xludf.DUMMYFUNCTION("""COMPUTED_VALUE"""),27.0)</f>
        <v>27</v>
      </c>
      <c r="K49" s="135">
        <f>IFERROR(__xludf.DUMMYFUNCTION("""COMPUTED_VALUE"""),27.0)</f>
        <v>27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>
      <c r="A50" s="13"/>
      <c r="B50" s="131">
        <f>IFERROR(__xludf.DUMMYFUNCTION("""COMPUTED_VALUE"""),48.0)</f>
        <v>48</v>
      </c>
      <c r="C50" s="131">
        <f>IFERROR(__xludf.DUMMYFUNCTION("""COMPUTED_VALUE"""),89.0)</f>
        <v>89</v>
      </c>
      <c r="D50" s="131" t="str">
        <f>IFERROR(__xludf.DUMMYFUNCTION("""COMPUTED_VALUE"""),"Olav Tagaküla")</f>
        <v>Olav Tagaküla</v>
      </c>
      <c r="E50" s="131" t="str">
        <f>IFERROR(__xludf.DUMMYFUNCTION("""COMPUTED_VALUE"""),"Estonia")</f>
        <v>Estonia</v>
      </c>
      <c r="F50" s="131" t="str">
        <f>IFERROR(__xludf.DUMMYFUNCTION("""COMPUTED_VALUE"""),"BMW E36")</f>
        <v>BMW E36</v>
      </c>
      <c r="G50" s="133" t="str">
        <f>IFERROR(__xludf.DUMMYFUNCTION("""COMPUTED_VALUE"""),"NIPETWORKS")</f>
        <v>NIPETWORKS</v>
      </c>
      <c r="H50" s="133" t="str">
        <f>IFERROR(__xludf.DUMMYFUNCTION("""COMPUTED_VALUE"""),"")</f>
        <v/>
      </c>
      <c r="I50" s="133" t="str">
        <f>IFERROR(__xludf.DUMMYFUNCTION("""COMPUTED_VALUE"""),"")</f>
        <v/>
      </c>
      <c r="J50" s="134">
        <f>IFERROR(__xludf.DUMMYFUNCTION("""COMPUTED_VALUE"""),27.0)</f>
        <v>27</v>
      </c>
      <c r="K50" s="135">
        <f>IFERROR(__xludf.DUMMYFUNCTION("""COMPUTED_VALUE"""),27.0)</f>
        <v>27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>
      <c r="A51" s="13"/>
      <c r="B51" s="131">
        <f>IFERROR(__xludf.DUMMYFUNCTION("""COMPUTED_VALUE"""),49.0)</f>
        <v>49</v>
      </c>
      <c r="C51" s="131">
        <f>IFERROR(__xludf.DUMMYFUNCTION("""COMPUTED_VALUE"""),414.0)</f>
        <v>414</v>
      </c>
      <c r="D51" s="131" t="str">
        <f>IFERROR(__xludf.DUMMYFUNCTION("""COMPUTED_VALUE"""),"Tytus Rosiński")</f>
        <v>Tytus Rosiński</v>
      </c>
      <c r="E51" s="131" t="str">
        <f>IFERROR(__xludf.DUMMYFUNCTION("""COMPUTED_VALUE"""),"Poland")</f>
        <v>Poland</v>
      </c>
      <c r="F51" s="131" t="str">
        <f>IFERROR(__xludf.DUMMYFUNCTION("""COMPUTED_VALUE"""),"BMW E36")</f>
        <v>BMW E36</v>
      </c>
      <c r="G51" s="132"/>
      <c r="H51" s="133">
        <f>IFERROR(__xludf.DUMMYFUNCTION("""COMPUTED_VALUE"""),24.0)</f>
        <v>24</v>
      </c>
      <c r="I51" s="133">
        <f>IFERROR(__xludf.DUMMYFUNCTION("""COMPUTED_VALUE"""),2.0)</f>
        <v>2</v>
      </c>
      <c r="J51" s="134" t="str">
        <f>IFERROR(__xludf.DUMMYFUNCTION("""COMPUTED_VALUE"""),"")</f>
        <v/>
      </c>
      <c r="K51" s="135">
        <f>IFERROR(__xludf.DUMMYFUNCTION("""COMPUTED_VALUE"""),26.0)</f>
        <v>26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>
      <c r="A52" s="13"/>
      <c r="B52" s="131">
        <f>IFERROR(__xludf.DUMMYFUNCTION("""COMPUTED_VALUE"""),50.0)</f>
        <v>50</v>
      </c>
      <c r="C52" s="131">
        <f>IFERROR(__xludf.DUMMYFUNCTION("""COMPUTED_VALUE"""),404.0)</f>
        <v>404</v>
      </c>
      <c r="D52" s="131" t="str">
        <f>IFERROR(__xludf.DUMMYFUNCTION("""COMPUTED_VALUE"""),"Wojciech Denis")</f>
        <v>Wojciech Denis</v>
      </c>
      <c r="E52" s="131" t="str">
        <f>IFERROR(__xludf.DUMMYFUNCTION("""COMPUTED_VALUE"""),"Poland")</f>
        <v>Poland</v>
      </c>
      <c r="F52" s="131" t="str">
        <f>IFERROR(__xludf.DUMMYFUNCTION("""COMPUTED_VALUE"""),"BMW E36")</f>
        <v>BMW E36</v>
      </c>
      <c r="G52" s="133" t="str">
        <f>IFERROR(__xludf.DUMMYFUNCTION("""COMPUTED_VALUE"""),"Team Delta Infinite")</f>
        <v>Team Delta Infinite</v>
      </c>
      <c r="H52" s="133" t="str">
        <f>IFERROR(__xludf.DUMMYFUNCTION("""COMPUTED_VALUE"""),"")</f>
        <v/>
      </c>
      <c r="I52" s="133" t="str">
        <f>IFERROR(__xludf.DUMMYFUNCTION("""COMPUTED_VALUE"""),"")</f>
        <v/>
      </c>
      <c r="J52" s="134">
        <f>IFERROR(__xludf.DUMMYFUNCTION("""COMPUTED_VALUE"""),26.0)</f>
        <v>26</v>
      </c>
      <c r="K52" s="135">
        <f>IFERROR(__xludf.DUMMYFUNCTION("""COMPUTED_VALUE"""),26.0)</f>
        <v>26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>
      <c r="A53" s="13"/>
      <c r="B53" s="131">
        <f>IFERROR(__xludf.DUMMYFUNCTION("""COMPUTED_VALUE"""),51.0)</f>
        <v>51</v>
      </c>
      <c r="C53" s="131">
        <f>IFERROR(__xludf.DUMMYFUNCTION("""COMPUTED_VALUE"""),65.0)</f>
        <v>65</v>
      </c>
      <c r="D53" s="131" t="str">
        <f>IFERROR(__xludf.DUMMYFUNCTION("""COMPUTED_VALUE"""),"Juuso Järvenpää")</f>
        <v>Juuso Järvenpää</v>
      </c>
      <c r="E53" s="131" t="str">
        <f>IFERROR(__xludf.DUMMYFUNCTION("""COMPUTED_VALUE"""),"Finland")</f>
        <v>Finland</v>
      </c>
      <c r="F53" s="131" t="str">
        <f>IFERROR(__xludf.DUMMYFUNCTION("""COMPUTED_VALUE"""),"BMW E36")</f>
        <v>BMW E36</v>
      </c>
      <c r="G53" s="133" t="str">
        <f>IFERROR(__xludf.DUMMYFUNCTION("""COMPUTED_VALUE"""),"Martat Racing")</f>
        <v>Martat Racing</v>
      </c>
      <c r="H53" s="133">
        <f>IFERROR(__xludf.DUMMYFUNCTION("""COMPUTED_VALUE"""),24.0)</f>
        <v>24</v>
      </c>
      <c r="I53" s="133">
        <f>IFERROR(__xludf.DUMMYFUNCTION("""COMPUTED_VALUE"""),1.0)</f>
        <v>1</v>
      </c>
      <c r="J53" s="134" t="str">
        <f>IFERROR(__xludf.DUMMYFUNCTION("""COMPUTED_VALUE"""),"")</f>
        <v/>
      </c>
      <c r="K53" s="135">
        <f>IFERROR(__xludf.DUMMYFUNCTION("""COMPUTED_VALUE"""),25.0)</f>
        <v>25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>
      <c r="A54" s="13"/>
      <c r="B54" s="131">
        <f>IFERROR(__xludf.DUMMYFUNCTION("""COMPUTED_VALUE"""),52.0)</f>
        <v>52</v>
      </c>
      <c r="C54" s="131">
        <f>IFERROR(__xludf.DUMMYFUNCTION("""COMPUTED_VALUE"""),6.0)</f>
        <v>6</v>
      </c>
      <c r="D54" s="131" t="str">
        <f>IFERROR(__xludf.DUMMYFUNCTION("""COMPUTED_VALUE"""),"Karl-Erik Tasuja")</f>
        <v>Karl-Erik Tasuja</v>
      </c>
      <c r="E54" s="131" t="str">
        <f>IFERROR(__xludf.DUMMYFUNCTION("""COMPUTED_VALUE"""),"Estonia")</f>
        <v>Estonia</v>
      </c>
      <c r="F54" s="131" t="str">
        <f>IFERROR(__xludf.DUMMYFUNCTION("""COMPUTED_VALUE"""),"BMW E36")</f>
        <v>BMW E36</v>
      </c>
      <c r="G54" s="133" t="str">
        <f>IFERROR(__xludf.DUMMYFUNCTION("""COMPUTED_VALUE"""),"Avenger Drift Team")</f>
        <v>Avenger Drift Team</v>
      </c>
      <c r="H54" s="133" t="str">
        <f>IFERROR(__xludf.DUMMYFUNCTION("""COMPUTED_VALUE"""),"")</f>
        <v/>
      </c>
      <c r="I54" s="133" t="str">
        <f>IFERROR(__xludf.DUMMYFUNCTION("""COMPUTED_VALUE"""),"")</f>
        <v/>
      </c>
      <c r="J54" s="134">
        <f>IFERROR(__xludf.DUMMYFUNCTION("""COMPUTED_VALUE"""),25.0)</f>
        <v>25</v>
      </c>
      <c r="K54" s="135">
        <f>IFERROR(__xludf.DUMMYFUNCTION("""COMPUTED_VALUE"""),25.0)</f>
        <v>25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>
      <c r="A55" s="13"/>
      <c r="B55" s="131">
        <f>IFERROR(__xludf.DUMMYFUNCTION("""COMPUTED_VALUE"""),53.0)</f>
        <v>53</v>
      </c>
      <c r="C55" s="131">
        <f>IFERROR(__xludf.DUMMYFUNCTION("""COMPUTED_VALUE"""),117.0)</f>
        <v>117</v>
      </c>
      <c r="D55" s="131" t="str">
        <f>IFERROR(__xludf.DUMMYFUNCTION("""COMPUTED_VALUE"""),"Liliana Lang")</f>
        <v>Liliana Lang</v>
      </c>
      <c r="E55" s="131" t="str">
        <f>IFERROR(__xludf.DUMMYFUNCTION("""COMPUTED_VALUE"""),"Austria")</f>
        <v>Austria</v>
      </c>
      <c r="F55" s="131" t="str">
        <f>IFERROR(__xludf.DUMMYFUNCTION("""COMPUTED_VALUE"""),"BMW E36")</f>
        <v>BMW E36</v>
      </c>
      <c r="G55" s="133" t="str">
        <f>IFERROR(__xludf.DUMMYFUNCTION("""COMPUTED_VALUE"""),"Trap House")</f>
        <v>Trap House</v>
      </c>
      <c r="H55" s="133">
        <f>IFERROR(__xludf.DUMMYFUNCTION("""COMPUTED_VALUE"""),24.0)</f>
        <v>24</v>
      </c>
      <c r="I55" s="133">
        <f>IFERROR(__xludf.DUMMYFUNCTION("""COMPUTED_VALUE"""),0.5)</f>
        <v>0.5</v>
      </c>
      <c r="J55" s="134" t="str">
        <f>IFERROR(__xludf.DUMMYFUNCTION("""COMPUTED_VALUE"""),"")</f>
        <v/>
      </c>
      <c r="K55" s="135">
        <f>IFERROR(__xludf.DUMMYFUNCTION("""COMPUTED_VALUE"""),24.5)</f>
        <v>24.5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>
      <c r="A56" s="13"/>
      <c r="B56" s="131">
        <f>IFERROR(__xludf.DUMMYFUNCTION("""COMPUTED_VALUE"""),54.0)</f>
        <v>54</v>
      </c>
      <c r="C56" s="131">
        <f>IFERROR(__xludf.DUMMYFUNCTION("""COMPUTED_VALUE"""),808.0)</f>
        <v>808</v>
      </c>
      <c r="D56" s="131" t="str">
        <f>IFERROR(__xludf.DUMMYFUNCTION("""COMPUTED_VALUE"""),"Dima Baydin")</f>
        <v>Dima Baydin</v>
      </c>
      <c r="E56" s="131" t="str">
        <f>IFERROR(__xludf.DUMMYFUNCTION("""COMPUTED_VALUE"""),"Kazakhstan")</f>
        <v>Kazakhstan</v>
      </c>
      <c r="F56" s="131" t="str">
        <f>IFERROR(__xludf.DUMMYFUNCTION("""COMPUTED_VALUE"""),"BMW E36")</f>
        <v>BMW E36</v>
      </c>
      <c r="G56" s="133" t="str">
        <f>IFERROR(__xludf.DUMMYFUNCTION("""COMPUTED_VALUE"""),"Ackerman")</f>
        <v>Ackerman</v>
      </c>
      <c r="H56" s="133">
        <f>IFERROR(__xludf.DUMMYFUNCTION("""COMPUTED_VALUE"""),24.0)</f>
        <v>24</v>
      </c>
      <c r="I56" s="133">
        <f>IFERROR(__xludf.DUMMYFUNCTION("""COMPUTED_VALUE"""),0.25)</f>
        <v>0.25</v>
      </c>
      <c r="J56" s="134" t="str">
        <f>IFERROR(__xludf.DUMMYFUNCTION("""COMPUTED_VALUE"""),"")</f>
        <v/>
      </c>
      <c r="K56" s="135">
        <f>IFERROR(__xludf.DUMMYFUNCTION("""COMPUTED_VALUE"""),24.25)</f>
        <v>24.25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>
      <c r="A57" s="13"/>
      <c r="B57" s="131">
        <f>IFERROR(__xludf.DUMMYFUNCTION("""COMPUTED_VALUE"""),55.0)</f>
        <v>55</v>
      </c>
      <c r="C57" s="131">
        <f>IFERROR(__xludf.DUMMYFUNCTION("""COMPUTED_VALUE"""),59.0)</f>
        <v>59</v>
      </c>
      <c r="D57" s="131" t="str">
        <f>IFERROR(__xludf.DUMMYFUNCTION("""COMPUTED_VALUE"""),"Oleh Solomoichenko")</f>
        <v>Oleh Solomoichenko</v>
      </c>
      <c r="E57" s="131" t="str">
        <f>IFERROR(__xludf.DUMMYFUNCTION("""COMPUTED_VALUE"""),"Ukraine")</f>
        <v>Ukraine</v>
      </c>
      <c r="F57" s="131" t="str">
        <f>IFERROR(__xludf.DUMMYFUNCTION("""COMPUTED_VALUE"""),"BMW E46")</f>
        <v>BMW E46</v>
      </c>
      <c r="G57" s="132"/>
      <c r="H57" s="133">
        <f>IFERROR(__xludf.DUMMYFUNCTION("""COMPUTED_VALUE"""),24.0)</f>
        <v>24</v>
      </c>
      <c r="I57" s="133">
        <f>IFERROR(__xludf.DUMMYFUNCTION("""COMPUTED_VALUE"""),0.25)</f>
        <v>0.25</v>
      </c>
      <c r="J57" s="134" t="str">
        <f>IFERROR(__xludf.DUMMYFUNCTION("""COMPUTED_VALUE"""),"")</f>
        <v/>
      </c>
      <c r="K57" s="135">
        <f>IFERROR(__xludf.DUMMYFUNCTION("""COMPUTED_VALUE"""),24.25)</f>
        <v>24.25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>
      <c r="A58" s="13"/>
      <c r="B58" s="131">
        <f>IFERROR(__xludf.DUMMYFUNCTION("""COMPUTED_VALUE"""),56.0)</f>
        <v>56</v>
      </c>
      <c r="C58" s="131">
        <f>IFERROR(__xludf.DUMMYFUNCTION("""COMPUTED_VALUE"""),507.0)</f>
        <v>507</v>
      </c>
      <c r="D58" s="131" t="str">
        <f>IFERROR(__xludf.DUMMYFUNCTION("""COMPUTED_VALUE"""),"Alexander skok Jensen")</f>
        <v>Alexander skok Jensen</v>
      </c>
      <c r="E58" s="131" t="str">
        <f>IFERROR(__xludf.DUMMYFUNCTION("""COMPUTED_VALUE"""),"Denmark")</f>
        <v>Denmark</v>
      </c>
      <c r="F58" s="131" t="str">
        <f>IFERROR(__xludf.DUMMYFUNCTION("""COMPUTED_VALUE"""),"BMW E36")</f>
        <v>BMW E36</v>
      </c>
      <c r="G58" s="132"/>
      <c r="H58" s="133">
        <f>IFERROR(__xludf.DUMMYFUNCTION("""COMPUTED_VALUE"""),24.0)</f>
        <v>24</v>
      </c>
      <c r="I58" s="133">
        <f>IFERROR(__xludf.DUMMYFUNCTION("""COMPUTED_VALUE"""),0.25)</f>
        <v>0.25</v>
      </c>
      <c r="J58" s="134" t="str">
        <f>IFERROR(__xludf.DUMMYFUNCTION("""COMPUTED_VALUE"""),"")</f>
        <v/>
      </c>
      <c r="K58" s="135">
        <f>IFERROR(__xludf.DUMMYFUNCTION("""COMPUTED_VALUE"""),24.25)</f>
        <v>24.25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>
      <c r="A59" s="13"/>
      <c r="B59" s="131">
        <f>IFERROR(__xludf.DUMMYFUNCTION("""COMPUTED_VALUE"""),57.0)</f>
        <v>57</v>
      </c>
      <c r="C59" s="131">
        <f>IFERROR(__xludf.DUMMYFUNCTION("""COMPUTED_VALUE"""),113.0)</f>
        <v>113</v>
      </c>
      <c r="D59" s="131" t="str">
        <f>IFERROR(__xludf.DUMMYFUNCTION("""COMPUTED_VALUE"""),"Aymen Ayachi")</f>
        <v>Aymen Ayachi</v>
      </c>
      <c r="E59" s="131" t="str">
        <f>IFERROR(__xludf.DUMMYFUNCTION("""COMPUTED_VALUE"""),"France")</f>
        <v>France</v>
      </c>
      <c r="F59" s="131" t="str">
        <f>IFERROR(__xludf.DUMMYFUNCTION("""COMPUTED_VALUE"""),"BMW E36")</f>
        <v>BMW E36</v>
      </c>
      <c r="G59" s="133" t="str">
        <f>IFERROR(__xludf.DUMMYFUNCTION("""COMPUTED_VALUE"""),"J-STYLE")</f>
        <v>J-STYLE</v>
      </c>
      <c r="H59" s="133" t="str">
        <f>IFERROR(__xludf.DUMMYFUNCTION("""COMPUTED_VALUE"""),"")</f>
        <v/>
      </c>
      <c r="I59" s="133" t="str">
        <f>IFERROR(__xludf.DUMMYFUNCTION("""COMPUTED_VALUE"""),"")</f>
        <v/>
      </c>
      <c r="J59" s="134">
        <f>IFERROR(__xludf.DUMMYFUNCTION("""COMPUTED_VALUE"""),24.25)</f>
        <v>24.25</v>
      </c>
      <c r="K59" s="135">
        <f>IFERROR(__xludf.DUMMYFUNCTION("""COMPUTED_VALUE"""),24.25)</f>
        <v>24.25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>
      <c r="A60" s="13"/>
      <c r="B60" s="131">
        <f>IFERROR(__xludf.DUMMYFUNCTION("""COMPUTED_VALUE"""),58.0)</f>
        <v>58</v>
      </c>
      <c r="C60" s="131">
        <f>IFERROR(__xludf.DUMMYFUNCTION("""COMPUTED_VALUE"""),368.0)</f>
        <v>368</v>
      </c>
      <c r="D60" s="131" t="str">
        <f>IFERROR(__xludf.DUMMYFUNCTION("""COMPUTED_VALUE"""),"Klaidas Ragainis")</f>
        <v>Klaidas Ragainis</v>
      </c>
      <c r="E60" s="131" t="str">
        <f>IFERROR(__xludf.DUMMYFUNCTION("""COMPUTED_VALUE"""),"Lithuania")</f>
        <v>Lithuania</v>
      </c>
      <c r="F60" s="131" t="str">
        <f>IFERROR(__xludf.DUMMYFUNCTION("""COMPUTED_VALUE"""),"BMW E36")</f>
        <v>BMW E36</v>
      </c>
      <c r="G60" s="133" t="str">
        <f>IFERROR(__xludf.DUMMYFUNCTION("""COMPUTED_VALUE"""),"VLDČ")</f>
        <v>VLDČ</v>
      </c>
      <c r="H60" s="133" t="str">
        <f>IFERROR(__xludf.DUMMYFUNCTION("""COMPUTED_VALUE"""),"")</f>
        <v/>
      </c>
      <c r="I60" s="133" t="str">
        <f>IFERROR(__xludf.DUMMYFUNCTION("""COMPUTED_VALUE"""),"")</f>
        <v/>
      </c>
      <c r="J60" s="134">
        <f>IFERROR(__xludf.DUMMYFUNCTION("""COMPUTED_VALUE"""),24.25)</f>
        <v>24.25</v>
      </c>
      <c r="K60" s="135">
        <f>IFERROR(__xludf.DUMMYFUNCTION("""COMPUTED_VALUE"""),24.25)</f>
        <v>24.25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>
      <c r="A61" s="13"/>
      <c r="B61" s="131">
        <f>IFERROR(__xludf.DUMMYFUNCTION("""COMPUTED_VALUE"""),59.0)</f>
        <v>59</v>
      </c>
      <c r="C61" s="131">
        <f>IFERROR(__xludf.DUMMYFUNCTION("""COMPUTED_VALUE"""),560.0)</f>
        <v>560</v>
      </c>
      <c r="D61" s="131" t="str">
        <f>IFERROR(__xludf.DUMMYFUNCTION("""COMPUTED_VALUE"""),"Oleh Solomoichenko")</f>
        <v>Oleh Solomoichenko</v>
      </c>
      <c r="E61" s="131" t="str">
        <f>IFERROR(__xludf.DUMMYFUNCTION("""COMPUTED_VALUE"""),"Ukraine")</f>
        <v>Ukraine</v>
      </c>
      <c r="F61" s="131" t="str">
        <f>IFERROR(__xludf.DUMMYFUNCTION("""COMPUTED_VALUE"""),"BMW E46")</f>
        <v>BMW E46</v>
      </c>
      <c r="G61" s="132"/>
      <c r="H61" s="133" t="str">
        <f>IFERROR(__xludf.DUMMYFUNCTION("""COMPUTED_VALUE"""),"")</f>
        <v/>
      </c>
      <c r="I61" s="133" t="str">
        <f>IFERROR(__xludf.DUMMYFUNCTION("""COMPUTED_VALUE"""),"")</f>
        <v/>
      </c>
      <c r="J61" s="134">
        <f>IFERROR(__xludf.DUMMYFUNCTION("""COMPUTED_VALUE"""),24.25)</f>
        <v>24.25</v>
      </c>
      <c r="K61" s="135">
        <f>IFERROR(__xludf.DUMMYFUNCTION("""COMPUTED_VALUE"""),24.25)</f>
        <v>24.25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>
      <c r="A62" s="13"/>
      <c r="B62" s="131">
        <f>IFERROR(__xludf.DUMMYFUNCTION("""COMPUTED_VALUE"""),60.0)</f>
        <v>60</v>
      </c>
      <c r="C62" s="131">
        <f>IFERROR(__xludf.DUMMYFUNCTION("""COMPUTED_VALUE"""),996.0)</f>
        <v>996</v>
      </c>
      <c r="D62" s="131" t="str">
        <f>IFERROR(__xludf.DUMMYFUNCTION("""COMPUTED_VALUE"""),"Eetu Ranta")</f>
        <v>Eetu Ranta</v>
      </c>
      <c r="E62" s="131" t="str">
        <f>IFERROR(__xludf.DUMMYFUNCTION("""COMPUTED_VALUE"""),"Finland")</f>
        <v>Finland</v>
      </c>
      <c r="F62" s="131" t="str">
        <f>IFERROR(__xludf.DUMMYFUNCTION("""COMPUTED_VALUE"""),"BMW E36")</f>
        <v>BMW E36</v>
      </c>
      <c r="G62" s="133" t="str">
        <f>IFERROR(__xludf.DUMMYFUNCTION("""COMPUTED_VALUE"""),"Reckless")</f>
        <v>Reckless</v>
      </c>
      <c r="H62" s="133" t="str">
        <f>IFERROR(__xludf.DUMMYFUNCTION("""COMPUTED_VALUE"""),"")</f>
        <v/>
      </c>
      <c r="I62" s="133" t="str">
        <f>IFERROR(__xludf.DUMMYFUNCTION("""COMPUTED_VALUE"""),"")</f>
        <v/>
      </c>
      <c r="J62" s="134">
        <f>IFERROR(__xludf.DUMMYFUNCTION("""COMPUTED_VALUE"""),24.25)</f>
        <v>24.25</v>
      </c>
      <c r="K62" s="135">
        <f>IFERROR(__xludf.DUMMYFUNCTION("""COMPUTED_VALUE"""),24.25)</f>
        <v>24.25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>
      <c r="A63" s="13"/>
      <c r="B63" s="131">
        <f>IFERROR(__xludf.DUMMYFUNCTION("""COMPUTED_VALUE"""),61.0)</f>
        <v>61</v>
      </c>
      <c r="C63" s="131">
        <f>IFERROR(__xludf.DUMMYFUNCTION("""COMPUTED_VALUE"""),420.0)</f>
        <v>420</v>
      </c>
      <c r="D63" s="131" t="str">
        <f>IFERROR(__xludf.DUMMYFUNCTION("""COMPUTED_VALUE"""),"Eduards Rēdmanis")</f>
        <v>Eduards Rēdmanis</v>
      </c>
      <c r="E63" s="131" t="str">
        <f>IFERROR(__xludf.DUMMYFUNCTION("""COMPUTED_VALUE"""),"Latvia")</f>
        <v>Latvia</v>
      </c>
      <c r="F63" s="131" t="str">
        <f>IFERROR(__xludf.DUMMYFUNCTION("""COMPUTED_VALUE"""),"BMW E46")</f>
        <v>BMW E46</v>
      </c>
      <c r="G63" s="133" t="str">
        <f>IFERROR(__xludf.DUMMYFUNCTION("""COMPUTED_VALUE"""),"RTRiga")</f>
        <v>RTRiga</v>
      </c>
      <c r="H63" s="133">
        <f>IFERROR(__xludf.DUMMYFUNCTION("""COMPUTED_VALUE"""),10.0)</f>
        <v>10</v>
      </c>
      <c r="I63" s="133">
        <f>IFERROR(__xludf.DUMMYFUNCTION("""COMPUTED_VALUE"""),0.1)</f>
        <v>0.1</v>
      </c>
      <c r="J63" s="134">
        <f>IFERROR(__xludf.DUMMYFUNCTION("""COMPUTED_VALUE"""),10.1)</f>
        <v>10.1</v>
      </c>
      <c r="K63" s="135">
        <f>IFERROR(__xludf.DUMMYFUNCTION("""COMPUTED_VALUE"""),20.2)</f>
        <v>20.2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>
      <c r="A64" s="13"/>
      <c r="B64" s="131">
        <f>IFERROR(__xludf.DUMMYFUNCTION("""COMPUTED_VALUE"""),62.0)</f>
        <v>62</v>
      </c>
      <c r="C64" s="131">
        <f>IFERROR(__xludf.DUMMYFUNCTION("""COMPUTED_VALUE"""),23.0)</f>
        <v>23</v>
      </c>
      <c r="D64" s="131" t="str">
        <f>IFERROR(__xludf.DUMMYFUNCTION("""COMPUTED_VALUE"""),"Harijs Labarevičs")</f>
        <v>Harijs Labarevičs</v>
      </c>
      <c r="E64" s="131" t="str">
        <f>IFERROR(__xludf.DUMMYFUNCTION("""COMPUTED_VALUE"""),"Latvia")</f>
        <v>Latvia</v>
      </c>
      <c r="F64" s="131" t="str">
        <f>IFERROR(__xludf.DUMMYFUNCTION("""COMPUTED_VALUE"""),"BMW E36")</f>
        <v>BMW E36</v>
      </c>
      <c r="G64" s="133" t="str">
        <f>IFERROR(__xludf.DUMMYFUNCTION("""COMPUTED_VALUE"""),"Drifta halle")</f>
        <v>Drifta halle</v>
      </c>
      <c r="H64" s="133" t="str">
        <f>IFERROR(__xludf.DUMMYFUNCTION("""COMPUTED_VALUE"""),"")</f>
        <v/>
      </c>
      <c r="I64" s="133" t="str">
        <f>IFERROR(__xludf.DUMMYFUNCTION("""COMPUTED_VALUE"""),"")</f>
        <v/>
      </c>
      <c r="J64" s="134">
        <f>IFERROR(__xludf.DUMMYFUNCTION("""COMPUTED_VALUE"""),20.2)</f>
        <v>20.2</v>
      </c>
      <c r="K64" s="135">
        <f>IFERROR(__xludf.DUMMYFUNCTION("""COMPUTED_VALUE"""),20.2)</f>
        <v>20.2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>
      <c r="A65" s="13"/>
      <c r="B65" s="131">
        <f>IFERROR(__xludf.DUMMYFUNCTION("""COMPUTED_VALUE"""),63.0)</f>
        <v>63</v>
      </c>
      <c r="C65" s="131">
        <f>IFERROR(__xludf.DUMMYFUNCTION("""COMPUTED_VALUE"""),997.0)</f>
        <v>997</v>
      </c>
      <c r="D65" s="131" t="str">
        <f>IFERROR(__xludf.DUMMYFUNCTION("""COMPUTED_VALUE"""),"Arkadiusz Michniak")</f>
        <v>Arkadiusz Michniak</v>
      </c>
      <c r="E65" s="131" t="str">
        <f>IFERROR(__xludf.DUMMYFUNCTION("""COMPUTED_VALUE"""),"Poland")</f>
        <v>Poland</v>
      </c>
      <c r="F65" s="131" t="str">
        <f>IFERROR(__xludf.DUMMYFUNCTION("""COMPUTED_VALUE"""),"BMW E36")</f>
        <v>BMW E36</v>
      </c>
      <c r="G65" s="133" t="str">
        <f>IFERROR(__xludf.DUMMYFUNCTION("""COMPUTED_VALUE"""),"PROXIMITER ACADEMY")</f>
        <v>PROXIMITER ACADEMY</v>
      </c>
      <c r="H65" s="133" t="str">
        <f>IFERROR(__xludf.DUMMYFUNCTION("""COMPUTED_VALUE"""),"")</f>
        <v/>
      </c>
      <c r="I65" s="133" t="str">
        <f>IFERROR(__xludf.DUMMYFUNCTION("""COMPUTED_VALUE"""),"")</f>
        <v/>
      </c>
      <c r="J65" s="134">
        <f>IFERROR(__xludf.DUMMYFUNCTION("""COMPUTED_VALUE"""),20.2)</f>
        <v>20.2</v>
      </c>
      <c r="K65" s="135">
        <f>IFERROR(__xludf.DUMMYFUNCTION("""COMPUTED_VALUE"""),20.2)</f>
        <v>20.2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>
      <c r="A66" s="13"/>
      <c r="B66" s="131">
        <f>IFERROR(__xludf.DUMMYFUNCTION("""COMPUTED_VALUE"""),64.0)</f>
        <v>64</v>
      </c>
      <c r="C66" s="131">
        <f>IFERROR(__xludf.DUMMYFUNCTION("""COMPUTED_VALUE"""),777.0)</f>
        <v>777</v>
      </c>
      <c r="D66" s="131" t="str">
        <f>IFERROR(__xludf.DUMMYFUNCTION("""COMPUTED_VALUE"""),"Jose Osuna")</f>
        <v>Jose Osuna</v>
      </c>
      <c r="E66" s="131" t="str">
        <f>IFERROR(__xludf.DUMMYFUNCTION("""COMPUTED_VALUE"""),"Mexico")</f>
        <v>Mexico</v>
      </c>
      <c r="F66" s="131" t="str">
        <f>IFERROR(__xludf.DUMMYFUNCTION("""COMPUTED_VALUE"""),"BMW E36")</f>
        <v>BMW E36</v>
      </c>
      <c r="G66" s="133" t="str">
        <f>IFERROR(__xludf.DUMMYFUNCTION("""COMPUTED_VALUE"""),"9x")</f>
        <v>9x</v>
      </c>
      <c r="H66" s="133">
        <f>IFERROR(__xludf.DUMMYFUNCTION("""COMPUTED_VALUE"""),10.0)</f>
        <v>10</v>
      </c>
      <c r="I66" s="133">
        <f>IFERROR(__xludf.DUMMYFUNCTION("""COMPUTED_VALUE"""),0.1)</f>
        <v>0.1</v>
      </c>
      <c r="J66" s="134" t="str">
        <f>IFERROR(__xludf.DUMMYFUNCTION("""COMPUTED_VALUE"""),"")</f>
        <v/>
      </c>
      <c r="K66" s="135">
        <f>IFERROR(__xludf.DUMMYFUNCTION("""COMPUTED_VALUE"""),10.1)</f>
        <v>10.1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>
      <c r="A67" s="13"/>
      <c r="B67" s="131">
        <f>IFERROR(__xludf.DUMMYFUNCTION("""COMPUTED_VALUE"""),65.0)</f>
        <v>65</v>
      </c>
      <c r="C67" s="131">
        <f>IFERROR(__xludf.DUMMYFUNCTION("""COMPUTED_VALUE"""),888.0)</f>
        <v>888</v>
      </c>
      <c r="D67" s="131" t="str">
        <f>IFERROR(__xludf.DUMMYFUNCTION("""COMPUTED_VALUE"""),"Amanzhol Bolekbayev")</f>
        <v>Amanzhol Bolekbayev</v>
      </c>
      <c r="E67" s="131" t="str">
        <f>IFERROR(__xludf.DUMMYFUNCTION("""COMPUTED_VALUE"""),"Kazakhstan")</f>
        <v>Kazakhstan</v>
      </c>
      <c r="F67" s="131" t="str">
        <f>IFERROR(__xludf.DUMMYFUNCTION("""COMPUTED_VALUE"""),"BMW E36")</f>
        <v>BMW E36</v>
      </c>
      <c r="G67" s="133" t="str">
        <f>IFERROR(__xludf.DUMMYFUNCTION("""COMPUTED_VALUE"""),"Ackerman")</f>
        <v>Ackerman</v>
      </c>
      <c r="H67" s="133">
        <f>IFERROR(__xludf.DUMMYFUNCTION("""COMPUTED_VALUE"""),10.0)</f>
        <v>10</v>
      </c>
      <c r="I67" s="133">
        <f>IFERROR(__xludf.DUMMYFUNCTION("""COMPUTED_VALUE"""),0.1)</f>
        <v>0.1</v>
      </c>
      <c r="J67" s="134" t="str">
        <f>IFERROR(__xludf.DUMMYFUNCTION("""COMPUTED_VALUE"""),"")</f>
        <v/>
      </c>
      <c r="K67" s="135">
        <f>IFERROR(__xludf.DUMMYFUNCTION("""COMPUTED_VALUE"""),10.1)</f>
        <v>10.1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>
      <c r="A68" s="13"/>
      <c r="B68" s="131">
        <f>IFERROR(__xludf.DUMMYFUNCTION("""COMPUTED_VALUE"""),66.0)</f>
        <v>66</v>
      </c>
      <c r="C68" s="131">
        <f>IFERROR(__xludf.DUMMYFUNCTION("""COMPUTED_VALUE"""),47.0)</f>
        <v>47</v>
      </c>
      <c r="D68" s="131" t="str">
        <f>IFERROR(__xludf.DUMMYFUNCTION("""COMPUTED_VALUE"""),"Dominik Đurin")</f>
        <v>Dominik Đurin</v>
      </c>
      <c r="E68" s="131" t="str">
        <f>IFERROR(__xludf.DUMMYFUNCTION("""COMPUTED_VALUE"""),"Croatia")</f>
        <v>Croatia</v>
      </c>
      <c r="F68" s="131" t="str">
        <f>IFERROR(__xludf.DUMMYFUNCTION("""COMPUTED_VALUE"""),"BMW E46")</f>
        <v>BMW E46</v>
      </c>
      <c r="G68" s="132"/>
      <c r="H68" s="133">
        <f>IFERROR(__xludf.DUMMYFUNCTION("""COMPUTED_VALUE"""),10.0)</f>
        <v>10</v>
      </c>
      <c r="I68" s="133">
        <f>IFERROR(__xludf.DUMMYFUNCTION("""COMPUTED_VALUE"""),0.1)</f>
        <v>0.1</v>
      </c>
      <c r="J68" s="134" t="str">
        <f>IFERROR(__xludf.DUMMYFUNCTION("""COMPUTED_VALUE"""),"")</f>
        <v/>
      </c>
      <c r="K68" s="135">
        <f>IFERROR(__xludf.DUMMYFUNCTION("""COMPUTED_VALUE"""),10.1)</f>
        <v>10.1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>
      <c r="A69" s="13"/>
      <c r="B69" s="131">
        <f>IFERROR(__xludf.DUMMYFUNCTION("""COMPUTED_VALUE"""),67.0)</f>
        <v>67</v>
      </c>
      <c r="C69" s="131">
        <f>IFERROR(__xludf.DUMMYFUNCTION("""COMPUTED_VALUE"""),90.0)</f>
        <v>90</v>
      </c>
      <c r="D69" s="131" t="str">
        <f>IFERROR(__xludf.DUMMYFUNCTION("""COMPUTED_VALUE"""),"Rolandas Mišauskas")</f>
        <v>Rolandas Mišauskas</v>
      </c>
      <c r="E69" s="131" t="str">
        <f>IFERROR(__xludf.DUMMYFUNCTION("""COMPUTED_VALUE"""),"Lithuania")</f>
        <v>Lithuania</v>
      </c>
      <c r="F69" s="131" t="str">
        <f>IFERROR(__xludf.DUMMYFUNCTION("""COMPUTED_VALUE"""),"BMW E36")</f>
        <v>BMW E36</v>
      </c>
      <c r="G69" s="132"/>
      <c r="H69" s="133">
        <f>IFERROR(__xludf.DUMMYFUNCTION("""COMPUTED_VALUE"""),10.0)</f>
        <v>10</v>
      </c>
      <c r="I69" s="133">
        <f>IFERROR(__xludf.DUMMYFUNCTION("""COMPUTED_VALUE"""),0.1)</f>
        <v>0.1</v>
      </c>
      <c r="J69" s="134" t="str">
        <f>IFERROR(__xludf.DUMMYFUNCTION("""COMPUTED_VALUE"""),"")</f>
        <v/>
      </c>
      <c r="K69" s="135">
        <f>IFERROR(__xludf.DUMMYFUNCTION("""COMPUTED_VALUE"""),10.1)</f>
        <v>10.1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>
      <c r="A70" s="13"/>
      <c r="B70" s="131">
        <f>IFERROR(__xludf.DUMMYFUNCTION("""COMPUTED_VALUE"""),68.0)</f>
        <v>68</v>
      </c>
      <c r="C70" s="131">
        <f>IFERROR(__xludf.DUMMYFUNCTION("""COMPUTED_VALUE"""),43.0)</f>
        <v>43</v>
      </c>
      <c r="D70" s="131" t="str">
        <f>IFERROR(__xludf.DUMMYFUNCTION("""COMPUTED_VALUE"""),"Azamat Maigarin")</f>
        <v>Azamat Maigarin</v>
      </c>
      <c r="E70" s="131" t="str">
        <f>IFERROR(__xludf.DUMMYFUNCTION("""COMPUTED_VALUE"""),"Kazakhstan")</f>
        <v>Kazakhstan</v>
      </c>
      <c r="F70" s="131" t="str">
        <f>IFERROR(__xludf.DUMMYFUNCTION("""COMPUTED_VALUE"""),"BMW E36")</f>
        <v>BMW E36</v>
      </c>
      <c r="G70" s="133" t="str">
        <f>IFERROR(__xludf.DUMMYFUNCTION("""COMPUTED_VALUE"""),"Race place Team")</f>
        <v>Race place Team</v>
      </c>
      <c r="H70" s="133">
        <f>IFERROR(__xludf.DUMMYFUNCTION("""COMPUTED_VALUE"""),10.0)</f>
        <v>10</v>
      </c>
      <c r="I70" s="133">
        <f>IFERROR(__xludf.DUMMYFUNCTION("""COMPUTED_VALUE"""),0.1)</f>
        <v>0.1</v>
      </c>
      <c r="J70" s="134" t="str">
        <f>IFERROR(__xludf.DUMMYFUNCTION("""COMPUTED_VALUE"""),"")</f>
        <v/>
      </c>
      <c r="K70" s="135">
        <f>IFERROR(__xludf.DUMMYFUNCTION("""COMPUTED_VALUE"""),10.1)</f>
        <v>10.1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>
      <c r="A71" s="13"/>
      <c r="B71" s="131">
        <f>IFERROR(__xludf.DUMMYFUNCTION("""COMPUTED_VALUE"""),69.0)</f>
        <v>69</v>
      </c>
      <c r="C71" s="131">
        <f>IFERROR(__xludf.DUMMYFUNCTION("""COMPUTED_VALUE"""),27.0)</f>
        <v>27</v>
      </c>
      <c r="D71" s="131" t="str">
        <f>IFERROR(__xludf.DUMMYFUNCTION("""COMPUTED_VALUE"""),"juanjo munoz")</f>
        <v>juanjo munoz</v>
      </c>
      <c r="E71" s="131" t="str">
        <f>IFERROR(__xludf.DUMMYFUNCTION("""COMPUTED_VALUE"""),"Spain")</f>
        <v>Spain</v>
      </c>
      <c r="F71" s="131" t="str">
        <f>IFERROR(__xludf.DUMMYFUNCTION("""COMPUTED_VALUE"""),"BMW E46")</f>
        <v>BMW E46</v>
      </c>
      <c r="G71" s="132"/>
      <c r="H71" s="133">
        <f>IFERROR(__xludf.DUMMYFUNCTION("""COMPUTED_VALUE"""),10.0)</f>
        <v>10</v>
      </c>
      <c r="I71" s="133">
        <f>IFERROR(__xludf.DUMMYFUNCTION("""COMPUTED_VALUE"""),0.1)</f>
        <v>0.1</v>
      </c>
      <c r="J71" s="134" t="str">
        <f>IFERROR(__xludf.DUMMYFUNCTION("""COMPUTED_VALUE"""),"")</f>
        <v/>
      </c>
      <c r="K71" s="135">
        <f>IFERROR(__xludf.DUMMYFUNCTION("""COMPUTED_VALUE"""),10.1)</f>
        <v>10.1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>
      <c r="A72" s="13"/>
      <c r="B72" s="131">
        <f>IFERROR(__xludf.DUMMYFUNCTION("""COMPUTED_VALUE"""),70.0)</f>
        <v>70</v>
      </c>
      <c r="C72" s="131">
        <f>IFERROR(__xludf.DUMMYFUNCTION("""COMPUTED_VALUE"""),44.0)</f>
        <v>44</v>
      </c>
      <c r="D72" s="131" t="str">
        <f>IFERROR(__xludf.DUMMYFUNCTION("""COMPUTED_VALUE"""),"Vilius Prizgintas")</f>
        <v>Vilius Prizgintas</v>
      </c>
      <c r="E72" s="131" t="str">
        <f>IFERROR(__xludf.DUMMYFUNCTION("""COMPUTED_VALUE"""),"Lithuania")</f>
        <v>Lithuania</v>
      </c>
      <c r="F72" s="131" t="str">
        <f>IFERROR(__xludf.DUMMYFUNCTION("""COMPUTED_VALUE"""),"BMW E36")</f>
        <v>BMW E36</v>
      </c>
      <c r="G72" s="133" t="str">
        <f>IFERROR(__xludf.DUMMYFUNCTION("""COMPUTED_VALUE"""),"NiekoTokio")</f>
        <v>NiekoTokio</v>
      </c>
      <c r="H72" s="133">
        <f>IFERROR(__xludf.DUMMYFUNCTION("""COMPUTED_VALUE"""),10.0)</f>
        <v>10</v>
      </c>
      <c r="I72" s="133">
        <f>IFERROR(__xludf.DUMMYFUNCTION("""COMPUTED_VALUE"""),0.1)</f>
        <v>0.1</v>
      </c>
      <c r="J72" s="134" t="str">
        <f>IFERROR(__xludf.DUMMYFUNCTION("""COMPUTED_VALUE"""),"")</f>
        <v/>
      </c>
      <c r="K72" s="135">
        <f>IFERROR(__xludf.DUMMYFUNCTION("""COMPUTED_VALUE"""),10.1)</f>
        <v>10.1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>
      <c r="A73" s="13"/>
      <c r="B73" s="131">
        <f>IFERROR(__xludf.DUMMYFUNCTION("""COMPUTED_VALUE"""),71.0)</f>
        <v>71</v>
      </c>
      <c r="C73" s="131">
        <f>IFERROR(__xludf.DUMMYFUNCTION("""COMPUTED_VALUE"""),989.0)</f>
        <v>989</v>
      </c>
      <c r="D73" s="131" t="str">
        <f>IFERROR(__xludf.DUMMYFUNCTION("""COMPUTED_VALUE"""),"Rytis Klimašauskas")</f>
        <v>Rytis Klimašauskas</v>
      </c>
      <c r="E73" s="131" t="str">
        <f>IFERROR(__xludf.DUMMYFUNCTION("""COMPUTED_VALUE"""),"Lithuania")</f>
        <v>Lithuania</v>
      </c>
      <c r="F73" s="131" t="str">
        <f>IFERROR(__xludf.DUMMYFUNCTION("""COMPUTED_VALUE"""),"BMW E36")</f>
        <v>BMW E36</v>
      </c>
      <c r="G73" s="132"/>
      <c r="H73" s="133">
        <f>IFERROR(__xludf.DUMMYFUNCTION("""COMPUTED_VALUE"""),10.0)</f>
        <v>10</v>
      </c>
      <c r="I73" s="133">
        <f>IFERROR(__xludf.DUMMYFUNCTION("""COMPUTED_VALUE"""),0.1)</f>
        <v>0.1</v>
      </c>
      <c r="J73" s="134" t="str">
        <f>IFERROR(__xludf.DUMMYFUNCTION("""COMPUTED_VALUE"""),"")</f>
        <v/>
      </c>
      <c r="K73" s="135">
        <f>IFERROR(__xludf.DUMMYFUNCTION("""COMPUTED_VALUE"""),10.1)</f>
        <v>10.1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>
      <c r="A74" s="13"/>
      <c r="B74" s="131">
        <f>IFERROR(__xludf.DUMMYFUNCTION("""COMPUTED_VALUE"""),72.0)</f>
        <v>72</v>
      </c>
      <c r="C74" s="131">
        <f>IFERROR(__xludf.DUMMYFUNCTION("""COMPUTED_VALUE"""),175.0)</f>
        <v>175</v>
      </c>
      <c r="D74" s="131" t="str">
        <f>IFERROR(__xludf.DUMMYFUNCTION("""COMPUTED_VALUE"""),"Tõnis Nael")</f>
        <v>Tõnis Nael</v>
      </c>
      <c r="E74" s="131" t="str">
        <f>IFERROR(__xludf.DUMMYFUNCTION("""COMPUTED_VALUE"""),"Estonia")</f>
        <v>Estonia</v>
      </c>
      <c r="F74" s="131" t="str">
        <f>IFERROR(__xludf.DUMMYFUNCTION("""COMPUTED_VALUE"""),"BMW E46")</f>
        <v>BMW E46</v>
      </c>
      <c r="G74" s="132"/>
      <c r="H74" s="133">
        <f>IFERROR(__xludf.DUMMYFUNCTION("""COMPUTED_VALUE"""),10.0)</f>
        <v>10</v>
      </c>
      <c r="I74" s="133">
        <f>IFERROR(__xludf.DUMMYFUNCTION("""COMPUTED_VALUE"""),0.1)</f>
        <v>0.1</v>
      </c>
      <c r="J74" s="134" t="str">
        <f>IFERROR(__xludf.DUMMYFUNCTION("""COMPUTED_VALUE"""),"")</f>
        <v/>
      </c>
      <c r="K74" s="135">
        <f>IFERROR(__xludf.DUMMYFUNCTION("""COMPUTED_VALUE"""),10.1)</f>
        <v>10.1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>
      <c r="A75" s="13"/>
      <c r="B75" s="131">
        <f>IFERROR(__xludf.DUMMYFUNCTION("""COMPUTED_VALUE"""),73.0)</f>
        <v>73</v>
      </c>
      <c r="C75" s="131">
        <f>IFERROR(__xludf.DUMMYFUNCTION("""COMPUTED_VALUE"""),475.0)</f>
        <v>475</v>
      </c>
      <c r="D75" s="131" t="str">
        <f>IFERROR(__xludf.DUMMYFUNCTION("""COMPUTED_VALUE"""),"Kreznerics Dominik")</f>
        <v>Kreznerics Dominik</v>
      </c>
      <c r="E75" s="131" t="str">
        <f>IFERROR(__xludf.DUMMYFUNCTION("""COMPUTED_VALUE"""),"Hungary")</f>
        <v>Hungary</v>
      </c>
      <c r="F75" s="131" t="str">
        <f>IFERROR(__xludf.DUMMYFUNCTION("""COMPUTED_VALUE"""),"BMW E36")</f>
        <v>BMW E36</v>
      </c>
      <c r="G75" s="133" t="str">
        <f>IFERROR(__xludf.DUMMYFUNCTION("""COMPUTED_VALUE"""),"MSK")</f>
        <v>MSK</v>
      </c>
      <c r="H75" s="133">
        <f>IFERROR(__xludf.DUMMYFUNCTION("""COMPUTED_VALUE"""),10.0)</f>
        <v>10</v>
      </c>
      <c r="I75" s="133">
        <f>IFERROR(__xludf.DUMMYFUNCTION("""COMPUTED_VALUE"""),0.1)</f>
        <v>0.1</v>
      </c>
      <c r="J75" s="134" t="str">
        <f>IFERROR(__xludf.DUMMYFUNCTION("""COMPUTED_VALUE"""),"")</f>
        <v/>
      </c>
      <c r="K75" s="135">
        <f>IFERROR(__xludf.DUMMYFUNCTION("""COMPUTED_VALUE"""),10.1)</f>
        <v>10.1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>
      <c r="A76" s="13"/>
      <c r="B76" s="131">
        <f>IFERROR(__xludf.DUMMYFUNCTION("""COMPUTED_VALUE"""),74.0)</f>
        <v>74</v>
      </c>
      <c r="C76" s="131">
        <f>IFERROR(__xludf.DUMMYFUNCTION("""COMPUTED_VALUE"""),215.0)</f>
        <v>215</v>
      </c>
      <c r="D76" s="131" t="str">
        <f>IFERROR(__xludf.DUMMYFUNCTION("""COMPUTED_VALUE"""),"Nauris Žmuida")</f>
        <v>Nauris Žmuida</v>
      </c>
      <c r="E76" s="131" t="str">
        <f>IFERROR(__xludf.DUMMYFUNCTION("""COMPUTED_VALUE"""),"Latvia")</f>
        <v>Latvia</v>
      </c>
      <c r="F76" s="131" t="str">
        <f>IFERROR(__xludf.DUMMYFUNCTION("""COMPUTED_VALUE"""),"BMW E46")</f>
        <v>BMW E46</v>
      </c>
      <c r="G76" s="133" t="str">
        <f>IFERROR(__xludf.DUMMYFUNCTION("""COMPUTED_VALUE"""),"Līkumslīdis")</f>
        <v>Līkumslīdis</v>
      </c>
      <c r="H76" s="133" t="str">
        <f>IFERROR(__xludf.DUMMYFUNCTION("""COMPUTED_VALUE"""),"")</f>
        <v/>
      </c>
      <c r="I76" s="133" t="str">
        <f>IFERROR(__xludf.DUMMYFUNCTION("""COMPUTED_VALUE"""),"")</f>
        <v/>
      </c>
      <c r="J76" s="134">
        <f>IFERROR(__xludf.DUMMYFUNCTION("""COMPUTED_VALUE"""),10.1)</f>
        <v>10.1</v>
      </c>
      <c r="K76" s="135">
        <f>IFERROR(__xludf.DUMMYFUNCTION("""COMPUTED_VALUE"""),10.1)</f>
        <v>10.1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>
      <c r="A77" s="13"/>
      <c r="B77" s="131">
        <f>IFERROR(__xludf.DUMMYFUNCTION("""COMPUTED_VALUE"""),75.0)</f>
        <v>75</v>
      </c>
      <c r="C77" s="131">
        <f>IFERROR(__xludf.DUMMYFUNCTION("""COMPUTED_VALUE"""),497.0)</f>
        <v>497</v>
      </c>
      <c r="D77" s="131" t="str">
        <f>IFERROR(__xludf.DUMMYFUNCTION("""COMPUTED_VALUE"""),"Mathe Szilveszter")</f>
        <v>Mathe Szilveszter</v>
      </c>
      <c r="E77" s="131" t="str">
        <f>IFERROR(__xludf.DUMMYFUNCTION("""COMPUTED_VALUE"""),"Hungary")</f>
        <v>Hungary</v>
      </c>
      <c r="F77" s="131" t="str">
        <f>IFERROR(__xludf.DUMMYFUNCTION("""COMPUTED_VALUE"""),"BMW E36")</f>
        <v>BMW E36</v>
      </c>
      <c r="G77" s="133" t="str">
        <f>IFERROR(__xludf.DUMMYFUNCTION("""COMPUTED_VALUE"""),"MSK")</f>
        <v>MSK</v>
      </c>
      <c r="H77" s="133">
        <f>IFERROR(__xludf.DUMMYFUNCTION("""COMPUTED_VALUE"""),10.0)</f>
        <v>10</v>
      </c>
      <c r="I77" s="133">
        <f>IFERROR(__xludf.DUMMYFUNCTION("""COMPUTED_VALUE"""),0.1)</f>
        <v>0.1</v>
      </c>
      <c r="J77" s="134" t="str">
        <f>IFERROR(__xludf.DUMMYFUNCTION("""COMPUTED_VALUE"""),"")</f>
        <v/>
      </c>
      <c r="K77" s="135">
        <f>IFERROR(__xludf.DUMMYFUNCTION("""COMPUTED_VALUE"""),10.1)</f>
        <v>10.1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>
      <c r="A78" s="13"/>
      <c r="B78" s="131">
        <f>IFERROR(__xludf.DUMMYFUNCTION("""COMPUTED_VALUE"""),76.0)</f>
        <v>76</v>
      </c>
      <c r="C78" s="131">
        <f>IFERROR(__xludf.DUMMYFUNCTION("""COMPUTED_VALUE"""),17.0)</f>
        <v>17</v>
      </c>
      <c r="D78" s="131" t="str">
        <f>IFERROR(__xludf.DUMMYFUNCTION("""COMPUTED_VALUE"""),"Harold Valdma")</f>
        <v>Harold Valdma</v>
      </c>
      <c r="E78" s="131" t="str">
        <f>IFERROR(__xludf.DUMMYFUNCTION("""COMPUTED_VALUE"""),"Estonia")</f>
        <v>Estonia</v>
      </c>
      <c r="F78" s="131" t="str">
        <f>IFERROR(__xludf.DUMMYFUNCTION("""COMPUTED_VALUE"""),"BMW E46")</f>
        <v>BMW E46</v>
      </c>
      <c r="G78" s="133" t="str">
        <f>IFERROR(__xludf.DUMMYFUNCTION("""COMPUTED_VALUE"""),"VAK Racing Team")</f>
        <v>VAK Racing Team</v>
      </c>
      <c r="H78" s="133" t="str">
        <f>IFERROR(__xludf.DUMMYFUNCTION("""COMPUTED_VALUE"""),"")</f>
        <v/>
      </c>
      <c r="I78" s="133" t="str">
        <f>IFERROR(__xludf.DUMMYFUNCTION("""COMPUTED_VALUE"""),"")</f>
        <v/>
      </c>
      <c r="J78" s="134">
        <f>IFERROR(__xludf.DUMMYFUNCTION("""COMPUTED_VALUE"""),10.1)</f>
        <v>10.1</v>
      </c>
      <c r="K78" s="135">
        <f>IFERROR(__xludf.DUMMYFUNCTION("""COMPUTED_VALUE"""),10.1)</f>
        <v>10.1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>
      <c r="A79" s="13"/>
      <c r="B79" s="131">
        <f>IFERROR(__xludf.DUMMYFUNCTION("""COMPUTED_VALUE"""),77.0)</f>
        <v>77</v>
      </c>
      <c r="C79" s="131">
        <f>IFERROR(__xludf.DUMMYFUNCTION("""COMPUTED_VALUE"""),25.0)</f>
        <v>25</v>
      </c>
      <c r="D79" s="131" t="str">
        <f>IFERROR(__xludf.DUMMYFUNCTION("""COMPUTED_VALUE"""),"Jason Shelton")</f>
        <v>Jason Shelton</v>
      </c>
      <c r="E79" s="131" t="str">
        <f>IFERROR(__xludf.DUMMYFUNCTION("""COMPUTED_VALUE"""),"United States")</f>
        <v>United States</v>
      </c>
      <c r="F79" s="131" t="str">
        <f>IFERROR(__xludf.DUMMYFUNCTION("""COMPUTED_VALUE"""),"BMW E46")</f>
        <v>BMW E46</v>
      </c>
      <c r="G79" s="133" t="str">
        <f>IFERROR(__xludf.DUMMYFUNCTION("""COMPUTED_VALUE"""),"Evolution of Drift")</f>
        <v>Evolution of Drift</v>
      </c>
      <c r="H79" s="133" t="str">
        <f>IFERROR(__xludf.DUMMYFUNCTION("""COMPUTED_VALUE"""),"")</f>
        <v/>
      </c>
      <c r="I79" s="133" t="str">
        <f>IFERROR(__xludf.DUMMYFUNCTION("""COMPUTED_VALUE"""),"")</f>
        <v/>
      </c>
      <c r="J79" s="134">
        <f>IFERROR(__xludf.DUMMYFUNCTION("""COMPUTED_VALUE"""),10.1)</f>
        <v>10.1</v>
      </c>
      <c r="K79" s="135">
        <f>IFERROR(__xludf.DUMMYFUNCTION("""COMPUTED_VALUE"""),10.1)</f>
        <v>10.1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>
      <c r="A80" s="13"/>
      <c r="B80" s="131">
        <f>IFERROR(__xludf.DUMMYFUNCTION("""COMPUTED_VALUE"""),78.0)</f>
        <v>78</v>
      </c>
      <c r="C80" s="131">
        <f>IFERROR(__xludf.DUMMYFUNCTION("""COMPUTED_VALUE"""),28.0)</f>
        <v>28</v>
      </c>
      <c r="D80" s="131" t="str">
        <f>IFERROR(__xludf.DUMMYFUNCTION("""COMPUTED_VALUE"""),"Rokas Radzevicius")</f>
        <v>Rokas Radzevicius</v>
      </c>
      <c r="E80" s="131" t="str">
        <f>IFERROR(__xludf.DUMMYFUNCTION("""COMPUTED_VALUE"""),"Lithuania")</f>
        <v>Lithuania</v>
      </c>
      <c r="F80" s="131" t="str">
        <f>IFERROR(__xludf.DUMMYFUNCTION("""COMPUTED_VALUE"""),"BMW E36")</f>
        <v>BMW E36</v>
      </c>
      <c r="G80" s="133" t="str">
        <f>IFERROR(__xludf.DUMMYFUNCTION("""COMPUTED_VALUE"""),"NiekoTokio")</f>
        <v>NiekoTokio</v>
      </c>
      <c r="H80" s="133" t="str">
        <f>IFERROR(__xludf.DUMMYFUNCTION("""COMPUTED_VALUE"""),"")</f>
        <v/>
      </c>
      <c r="I80" s="133" t="str">
        <f>IFERROR(__xludf.DUMMYFUNCTION("""COMPUTED_VALUE"""),"")</f>
        <v/>
      </c>
      <c r="J80" s="134">
        <f>IFERROR(__xludf.DUMMYFUNCTION("""COMPUTED_VALUE"""),10.1)</f>
        <v>10.1</v>
      </c>
      <c r="K80" s="135">
        <f>IFERROR(__xludf.DUMMYFUNCTION("""COMPUTED_VALUE"""),10.1)</f>
        <v>10.1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>
      <c r="A81" s="13"/>
      <c r="B81" s="131">
        <f>IFERROR(__xludf.DUMMYFUNCTION("""COMPUTED_VALUE"""),79.0)</f>
        <v>79</v>
      </c>
      <c r="C81" s="131">
        <f>IFERROR(__xludf.DUMMYFUNCTION("""COMPUTED_VALUE"""),33.0)</f>
        <v>33</v>
      </c>
      <c r="D81" s="131" t="str">
        <f>IFERROR(__xludf.DUMMYFUNCTION("""COMPUTED_VALUE"""),"Michael Duran")</f>
        <v>Michael Duran</v>
      </c>
      <c r="E81" s="131" t="str">
        <f>IFERROR(__xludf.DUMMYFUNCTION("""COMPUTED_VALUE"""),"Spain")</f>
        <v>Spain</v>
      </c>
      <c r="F81" s="131" t="str">
        <f>IFERROR(__xludf.DUMMYFUNCTION("""COMPUTED_VALUE"""),"BMW E36")</f>
        <v>BMW E36</v>
      </c>
      <c r="G81" s="133" t="str">
        <f>IFERROR(__xludf.DUMMYFUNCTION("""COMPUTED_VALUE"""),"ESKUKO RED")</f>
        <v>ESKUKO RED</v>
      </c>
      <c r="H81" s="133" t="str">
        <f>IFERROR(__xludf.DUMMYFUNCTION("""COMPUTED_VALUE"""),"")</f>
        <v/>
      </c>
      <c r="I81" s="133" t="str">
        <f>IFERROR(__xludf.DUMMYFUNCTION("""COMPUTED_VALUE"""),"")</f>
        <v/>
      </c>
      <c r="J81" s="134">
        <f>IFERROR(__xludf.DUMMYFUNCTION("""COMPUTED_VALUE"""),10.1)</f>
        <v>10.1</v>
      </c>
      <c r="K81" s="135">
        <f>IFERROR(__xludf.DUMMYFUNCTION("""COMPUTED_VALUE"""),10.1)</f>
        <v>10.1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>
      <c r="A82" s="13"/>
      <c r="B82" s="131">
        <f>IFERROR(__xludf.DUMMYFUNCTION("""COMPUTED_VALUE"""),80.0)</f>
        <v>80</v>
      </c>
      <c r="C82" s="131">
        <f>IFERROR(__xludf.DUMMYFUNCTION("""COMPUTED_VALUE"""),39.0)</f>
        <v>39</v>
      </c>
      <c r="D82" s="131" t="str">
        <f>IFERROR(__xludf.DUMMYFUNCTION("""COMPUTED_VALUE"""),"Piotr Czechowicz")</f>
        <v>Piotr Czechowicz</v>
      </c>
      <c r="E82" s="131" t="str">
        <f>IFERROR(__xludf.DUMMYFUNCTION("""COMPUTED_VALUE"""),"Poland")</f>
        <v>Poland</v>
      </c>
      <c r="F82" s="131" t="str">
        <f>IFERROR(__xludf.DUMMYFUNCTION("""COMPUTED_VALUE"""),"BMW E36")</f>
        <v>BMW E36</v>
      </c>
      <c r="G82" s="133" t="str">
        <f>IFERROR(__xludf.DUMMYFUNCTION("""COMPUTED_VALUE"""),"Kamimoto")</f>
        <v>Kamimoto</v>
      </c>
      <c r="H82" s="133" t="str">
        <f>IFERROR(__xludf.DUMMYFUNCTION("""COMPUTED_VALUE"""),"")</f>
        <v/>
      </c>
      <c r="I82" s="133" t="str">
        <f>IFERROR(__xludf.DUMMYFUNCTION("""COMPUTED_VALUE"""),"")</f>
        <v/>
      </c>
      <c r="J82" s="134">
        <f>IFERROR(__xludf.DUMMYFUNCTION("""COMPUTED_VALUE"""),10.1)</f>
        <v>10.1</v>
      </c>
      <c r="K82" s="135">
        <f>IFERROR(__xludf.DUMMYFUNCTION("""COMPUTED_VALUE"""),10.1)</f>
        <v>10.1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>
      <c r="A83" s="13"/>
      <c r="B83" s="131">
        <f>IFERROR(__xludf.DUMMYFUNCTION("""COMPUTED_VALUE"""),81.0)</f>
        <v>81</v>
      </c>
      <c r="C83" s="131">
        <f>IFERROR(__xludf.DUMMYFUNCTION("""COMPUTED_VALUE"""),40.0)</f>
        <v>40</v>
      </c>
      <c r="D83" s="131" t="str">
        <f>IFERROR(__xludf.DUMMYFUNCTION("""COMPUTED_VALUE"""),"Anvar Valdok")</f>
        <v>Anvar Valdok</v>
      </c>
      <c r="E83" s="131" t="str">
        <f>IFERROR(__xludf.DUMMYFUNCTION("""COMPUTED_VALUE"""),"Estonia")</f>
        <v>Estonia</v>
      </c>
      <c r="F83" s="131" t="str">
        <f>IFERROR(__xludf.DUMMYFUNCTION("""COMPUTED_VALUE"""),"BMW E36")</f>
        <v>BMW E36</v>
      </c>
      <c r="G83" s="132"/>
      <c r="H83" s="133" t="str">
        <f>IFERROR(__xludf.DUMMYFUNCTION("""COMPUTED_VALUE"""),"")</f>
        <v/>
      </c>
      <c r="I83" s="133" t="str">
        <f>IFERROR(__xludf.DUMMYFUNCTION("""COMPUTED_VALUE"""),"")</f>
        <v/>
      </c>
      <c r="J83" s="134">
        <f>IFERROR(__xludf.DUMMYFUNCTION("""COMPUTED_VALUE"""),10.1)</f>
        <v>10.1</v>
      </c>
      <c r="K83" s="135">
        <f>IFERROR(__xludf.DUMMYFUNCTION("""COMPUTED_VALUE"""),10.1)</f>
        <v>10.1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>
      <c r="A84" s="13"/>
      <c r="B84" s="131">
        <f>IFERROR(__xludf.DUMMYFUNCTION("""COMPUTED_VALUE"""),82.0)</f>
        <v>82</v>
      </c>
      <c r="C84" s="131">
        <f>IFERROR(__xludf.DUMMYFUNCTION("""COMPUTED_VALUE"""),46.0)</f>
        <v>46</v>
      </c>
      <c r="D84" s="131" t="str">
        <f>IFERROR(__xludf.DUMMYFUNCTION("""COMPUTED_VALUE"""),"Andrzej Orekhov")</f>
        <v>Andrzej Orekhov</v>
      </c>
      <c r="E84" s="131" t="str">
        <f>IFERROR(__xludf.DUMMYFUNCTION("""COMPUTED_VALUE"""),"Ukraine")</f>
        <v>Ukraine</v>
      </c>
      <c r="F84" s="131" t="str">
        <f>IFERROR(__xludf.DUMMYFUNCTION("""COMPUTED_VALUE"""),"BMW E36")</f>
        <v>BMW E36</v>
      </c>
      <c r="G84" s="133" t="str">
        <f>IFERROR(__xludf.DUMMYFUNCTION("""COMPUTED_VALUE"""),"BSRig")</f>
        <v>BSRig</v>
      </c>
      <c r="H84" s="133" t="str">
        <f>IFERROR(__xludf.DUMMYFUNCTION("""COMPUTED_VALUE"""),"")</f>
        <v/>
      </c>
      <c r="I84" s="133" t="str">
        <f>IFERROR(__xludf.DUMMYFUNCTION("""COMPUTED_VALUE"""),"")</f>
        <v/>
      </c>
      <c r="J84" s="134">
        <f>IFERROR(__xludf.DUMMYFUNCTION("""COMPUTED_VALUE"""),10.1)</f>
        <v>10.1</v>
      </c>
      <c r="K84" s="135">
        <f>IFERROR(__xludf.DUMMYFUNCTION("""COMPUTED_VALUE"""),10.1)</f>
        <v>10.1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>
      <c r="A85" s="13"/>
      <c r="B85" s="131">
        <f>IFERROR(__xludf.DUMMYFUNCTION("""COMPUTED_VALUE"""),83.0)</f>
        <v>83</v>
      </c>
      <c r="C85" s="131">
        <f>IFERROR(__xludf.DUMMYFUNCTION("""COMPUTED_VALUE"""),56.0)</f>
        <v>56</v>
      </c>
      <c r="D85" s="131" t="str">
        <f>IFERROR(__xludf.DUMMYFUNCTION("""COMPUTED_VALUE"""),"Edvinas Labutis")</f>
        <v>Edvinas Labutis</v>
      </c>
      <c r="E85" s="131" t="str">
        <f>IFERROR(__xludf.DUMMYFUNCTION("""COMPUTED_VALUE"""),"Lithuania")</f>
        <v>Lithuania</v>
      </c>
      <c r="F85" s="131" t="str">
        <f>IFERROR(__xludf.DUMMYFUNCTION("""COMPUTED_VALUE"""),"BMW E36")</f>
        <v>BMW E36</v>
      </c>
      <c r="G85" s="133" t="str">
        <f>IFERROR(__xludf.DUMMYFUNCTION("""COMPUTED_VALUE"""),"UWAGA Motorsport")</f>
        <v>UWAGA Motorsport</v>
      </c>
      <c r="H85" s="133" t="str">
        <f>IFERROR(__xludf.DUMMYFUNCTION("""COMPUTED_VALUE"""),"")</f>
        <v/>
      </c>
      <c r="I85" s="133" t="str">
        <f>IFERROR(__xludf.DUMMYFUNCTION("""COMPUTED_VALUE"""),"")</f>
        <v/>
      </c>
      <c r="J85" s="134">
        <f>IFERROR(__xludf.DUMMYFUNCTION("""COMPUTED_VALUE"""),10.1)</f>
        <v>10.1</v>
      </c>
      <c r="K85" s="135">
        <f>IFERROR(__xludf.DUMMYFUNCTION("""COMPUTED_VALUE"""),10.1)</f>
        <v>10.1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>
      <c r="A86" s="13"/>
      <c r="B86" s="131">
        <f>IFERROR(__xludf.DUMMYFUNCTION("""COMPUTED_VALUE"""),84.0)</f>
        <v>84</v>
      </c>
      <c r="C86" s="131">
        <f>IFERROR(__xludf.DUMMYFUNCTION("""COMPUTED_VALUE"""),57.0)</f>
        <v>57</v>
      </c>
      <c r="D86" s="131" t="str">
        <f>IFERROR(__xludf.DUMMYFUNCTION("""COMPUTED_VALUE"""),"Sandra Bagdonaitė")</f>
        <v>Sandra Bagdonaitė</v>
      </c>
      <c r="E86" s="131" t="str">
        <f>IFERROR(__xludf.DUMMYFUNCTION("""COMPUTED_VALUE"""),"Lithuania")</f>
        <v>Lithuania</v>
      </c>
      <c r="F86" s="131" t="str">
        <f>IFERROR(__xludf.DUMMYFUNCTION("""COMPUTED_VALUE"""),"BMW E46")</f>
        <v>BMW E46</v>
      </c>
      <c r="G86" s="132"/>
      <c r="H86" s="133" t="str">
        <f>IFERROR(__xludf.DUMMYFUNCTION("""COMPUTED_VALUE"""),"")</f>
        <v/>
      </c>
      <c r="I86" s="133" t="str">
        <f>IFERROR(__xludf.DUMMYFUNCTION("""COMPUTED_VALUE"""),"")</f>
        <v/>
      </c>
      <c r="J86" s="134">
        <f>IFERROR(__xludf.DUMMYFUNCTION("""COMPUTED_VALUE"""),10.1)</f>
        <v>10.1</v>
      </c>
      <c r="K86" s="135">
        <f>IFERROR(__xludf.DUMMYFUNCTION("""COMPUTED_VALUE"""),10.1)</f>
        <v>10.1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>
      <c r="A87" s="13"/>
      <c r="B87" s="131">
        <f>IFERROR(__xludf.DUMMYFUNCTION("""COMPUTED_VALUE"""),85.0)</f>
        <v>85</v>
      </c>
      <c r="C87" s="131">
        <f>IFERROR(__xludf.DUMMYFUNCTION("""COMPUTED_VALUE"""),69.0)</f>
        <v>69</v>
      </c>
      <c r="D87" s="131" t="str">
        <f>IFERROR(__xludf.DUMMYFUNCTION("""COMPUTED_VALUE"""),"Vilius Prižgintas")</f>
        <v>Vilius Prižgintas</v>
      </c>
      <c r="E87" s="131" t="str">
        <f>IFERROR(__xludf.DUMMYFUNCTION("""COMPUTED_VALUE"""),"Lithuania")</f>
        <v>Lithuania</v>
      </c>
      <c r="F87" s="131" t="str">
        <f>IFERROR(__xludf.DUMMYFUNCTION("""COMPUTED_VALUE"""),"BMW E36")</f>
        <v>BMW E36</v>
      </c>
      <c r="G87" s="133" t="str">
        <f>IFERROR(__xludf.DUMMYFUNCTION("""COMPUTED_VALUE"""),"NiekoTokio")</f>
        <v>NiekoTokio</v>
      </c>
      <c r="H87" s="133" t="str">
        <f>IFERROR(__xludf.DUMMYFUNCTION("""COMPUTED_VALUE"""),"")</f>
        <v/>
      </c>
      <c r="I87" s="133" t="str">
        <f>IFERROR(__xludf.DUMMYFUNCTION("""COMPUTED_VALUE"""),"")</f>
        <v/>
      </c>
      <c r="J87" s="134">
        <f>IFERROR(__xludf.DUMMYFUNCTION("""COMPUTED_VALUE"""),10.1)</f>
        <v>10.1</v>
      </c>
      <c r="K87" s="135">
        <f>IFERROR(__xludf.DUMMYFUNCTION("""COMPUTED_VALUE"""),10.1)</f>
        <v>10.1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>
      <c r="A88" s="13"/>
      <c r="B88" s="131">
        <f>IFERROR(__xludf.DUMMYFUNCTION("""COMPUTED_VALUE"""),86.0)</f>
        <v>86</v>
      </c>
      <c r="C88" s="131">
        <f>IFERROR(__xludf.DUMMYFUNCTION("""COMPUTED_VALUE"""),91.0)</f>
        <v>91</v>
      </c>
      <c r="D88" s="131" t="str">
        <f>IFERROR(__xludf.DUMMYFUNCTION("""COMPUTED_VALUE"""),"Daniels Tomass Bērziņš")</f>
        <v>Daniels Tomass Bērziņš</v>
      </c>
      <c r="E88" s="131" t="str">
        <f>IFERROR(__xludf.DUMMYFUNCTION("""COMPUTED_VALUE"""),"Latvia")</f>
        <v>Latvia</v>
      </c>
      <c r="F88" s="131" t="str">
        <f>IFERROR(__xludf.DUMMYFUNCTION("""COMPUTED_VALUE"""),"BMW E46")</f>
        <v>BMW E46</v>
      </c>
      <c r="G88" s="132"/>
      <c r="H88" s="133" t="str">
        <f>IFERROR(__xludf.DUMMYFUNCTION("""COMPUTED_VALUE"""),"")</f>
        <v/>
      </c>
      <c r="I88" s="133" t="str">
        <f>IFERROR(__xludf.DUMMYFUNCTION("""COMPUTED_VALUE"""),"")</f>
        <v/>
      </c>
      <c r="J88" s="134">
        <f>IFERROR(__xludf.DUMMYFUNCTION("""COMPUTED_VALUE"""),10.1)</f>
        <v>10.1</v>
      </c>
      <c r="K88" s="135">
        <f>IFERROR(__xludf.DUMMYFUNCTION("""COMPUTED_VALUE"""),10.1)</f>
        <v>10.1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>
      <c r="A89" s="13"/>
      <c r="B89" s="131">
        <f>IFERROR(__xludf.DUMMYFUNCTION("""COMPUTED_VALUE"""),87.0)</f>
        <v>87</v>
      </c>
      <c r="C89" s="131">
        <f>IFERROR(__xludf.DUMMYFUNCTION("""COMPUTED_VALUE"""),96.0)</f>
        <v>96</v>
      </c>
      <c r="D89" s="131" t="str">
        <f>IFERROR(__xludf.DUMMYFUNCTION("""COMPUTED_VALUE"""),"Jonathan Ehn")</f>
        <v>Jonathan Ehn</v>
      </c>
      <c r="E89" s="131" t="str">
        <f>IFERROR(__xludf.DUMMYFUNCTION("""COMPUTED_VALUE"""),"Sweden")</f>
        <v>Sweden</v>
      </c>
      <c r="F89" s="131" t="str">
        <f>IFERROR(__xludf.DUMMYFUNCTION("""COMPUTED_VALUE"""),"BMW E36")</f>
        <v>BMW E36</v>
      </c>
      <c r="G89" s="133" t="str">
        <f>IFERROR(__xludf.DUMMYFUNCTION("""COMPUTED_VALUE"""),"Reckless")</f>
        <v>Reckless</v>
      </c>
      <c r="H89" s="133" t="str">
        <f>IFERROR(__xludf.DUMMYFUNCTION("""COMPUTED_VALUE"""),"")</f>
        <v/>
      </c>
      <c r="I89" s="133" t="str">
        <f>IFERROR(__xludf.DUMMYFUNCTION("""COMPUTED_VALUE"""),"")</f>
        <v/>
      </c>
      <c r="J89" s="134">
        <f>IFERROR(__xludf.DUMMYFUNCTION("""COMPUTED_VALUE"""),10.1)</f>
        <v>10.1</v>
      </c>
      <c r="K89" s="135">
        <f>IFERROR(__xludf.DUMMYFUNCTION("""COMPUTED_VALUE"""),10.1)</f>
        <v>10.1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>
      <c r="A90" s="13"/>
      <c r="B90" s="131">
        <f>IFERROR(__xludf.DUMMYFUNCTION("""COMPUTED_VALUE"""),88.0)</f>
        <v>88</v>
      </c>
      <c r="C90" s="131">
        <f>IFERROR(__xludf.DUMMYFUNCTION("""COMPUTED_VALUE"""),198.0)</f>
        <v>198</v>
      </c>
      <c r="D90" s="131" t="str">
        <f>IFERROR(__xludf.DUMMYFUNCTION("""COMPUTED_VALUE"""),"Rytis Klimašauskas")</f>
        <v>Rytis Klimašauskas</v>
      </c>
      <c r="E90" s="131" t="str">
        <f>IFERROR(__xludf.DUMMYFUNCTION("""COMPUTED_VALUE"""),"Lithuania")</f>
        <v>Lithuania</v>
      </c>
      <c r="F90" s="131" t="str">
        <f>IFERROR(__xludf.DUMMYFUNCTION("""COMPUTED_VALUE"""),"BMW E36")</f>
        <v>BMW E36</v>
      </c>
      <c r="G90" s="132"/>
      <c r="H90" s="133" t="str">
        <f>IFERROR(__xludf.DUMMYFUNCTION("""COMPUTED_VALUE"""),"")</f>
        <v/>
      </c>
      <c r="I90" s="133" t="str">
        <f>IFERROR(__xludf.DUMMYFUNCTION("""COMPUTED_VALUE"""),"")</f>
        <v/>
      </c>
      <c r="J90" s="134">
        <f>IFERROR(__xludf.DUMMYFUNCTION("""COMPUTED_VALUE"""),10.1)</f>
        <v>10.1</v>
      </c>
      <c r="K90" s="135">
        <f>IFERROR(__xludf.DUMMYFUNCTION("""COMPUTED_VALUE"""),10.1)</f>
        <v>10.1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>
      <c r="A91" s="13"/>
      <c r="B91" s="131">
        <f>IFERROR(__xludf.DUMMYFUNCTION("""COMPUTED_VALUE"""),89.0)</f>
        <v>89</v>
      </c>
      <c r="C91" s="131">
        <f>IFERROR(__xludf.DUMMYFUNCTION("""COMPUTED_VALUE"""),201.0)</f>
        <v>201</v>
      </c>
      <c r="D91" s="131" t="str">
        <f>IFERROR(__xludf.DUMMYFUNCTION("""COMPUTED_VALUE"""),"Nauris Kokins")</f>
        <v>Nauris Kokins</v>
      </c>
      <c r="E91" s="131" t="str">
        <f>IFERROR(__xludf.DUMMYFUNCTION("""COMPUTED_VALUE"""),"Latvia")</f>
        <v>Latvia</v>
      </c>
      <c r="F91" s="131" t="str">
        <f>IFERROR(__xludf.DUMMYFUNCTION("""COMPUTED_VALUE"""),"BMW E46")</f>
        <v>BMW E46</v>
      </c>
      <c r="G91" s="133" t="str">
        <f>IFERROR(__xludf.DUMMYFUNCTION("""COMPUTED_VALUE"""),"AMS")</f>
        <v>AMS</v>
      </c>
      <c r="H91" s="133" t="str">
        <f>IFERROR(__xludf.DUMMYFUNCTION("""COMPUTED_VALUE"""),"")</f>
        <v/>
      </c>
      <c r="I91" s="133" t="str">
        <f>IFERROR(__xludf.DUMMYFUNCTION("""COMPUTED_VALUE"""),"")</f>
        <v/>
      </c>
      <c r="J91" s="134">
        <f>IFERROR(__xludf.DUMMYFUNCTION("""COMPUTED_VALUE"""),10.1)</f>
        <v>10.1</v>
      </c>
      <c r="K91" s="135">
        <f>IFERROR(__xludf.DUMMYFUNCTION("""COMPUTED_VALUE"""),10.1)</f>
        <v>10.1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>
      <c r="A92" s="13"/>
      <c r="B92" s="131">
        <f>IFERROR(__xludf.DUMMYFUNCTION("""COMPUTED_VALUE"""),90.0)</f>
        <v>90</v>
      </c>
      <c r="C92" s="131">
        <f>IFERROR(__xludf.DUMMYFUNCTION("""COMPUTED_VALUE"""),239.0)</f>
        <v>239</v>
      </c>
      <c r="D92" s="131" t="str">
        <f>IFERROR(__xludf.DUMMYFUNCTION("""COMPUTED_VALUE"""),"Andre Henriques")</f>
        <v>Andre Henriques</v>
      </c>
      <c r="E92" s="131" t="str">
        <f>IFERROR(__xludf.DUMMYFUNCTION("""COMPUTED_VALUE"""),"Portugal")</f>
        <v>Portugal</v>
      </c>
      <c r="F92" s="131" t="str">
        <f>IFERROR(__xludf.DUMMYFUNCTION("""COMPUTED_VALUE"""),"BMW E46")</f>
        <v>BMW E46</v>
      </c>
      <c r="G92" s="133" t="str">
        <f>IFERROR(__xludf.DUMMYFUNCTION("""COMPUTED_VALUE"""),"Drift Unity")</f>
        <v>Drift Unity</v>
      </c>
      <c r="H92" s="133" t="str">
        <f>IFERROR(__xludf.DUMMYFUNCTION("""COMPUTED_VALUE"""),"")</f>
        <v/>
      </c>
      <c r="I92" s="133" t="str">
        <f>IFERROR(__xludf.DUMMYFUNCTION("""COMPUTED_VALUE"""),"")</f>
        <v/>
      </c>
      <c r="J92" s="134">
        <f>IFERROR(__xludf.DUMMYFUNCTION("""COMPUTED_VALUE"""),10.1)</f>
        <v>10.1</v>
      </c>
      <c r="K92" s="135">
        <f>IFERROR(__xludf.DUMMYFUNCTION("""COMPUTED_VALUE"""),10.1)</f>
        <v>10.1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>
      <c r="A93" s="13"/>
      <c r="B93" s="131">
        <f>IFERROR(__xludf.DUMMYFUNCTION("""COMPUTED_VALUE"""),91.0)</f>
        <v>91</v>
      </c>
      <c r="C93" s="131">
        <f>IFERROR(__xludf.DUMMYFUNCTION("""COMPUTED_VALUE"""),303.0)</f>
        <v>303</v>
      </c>
      <c r="D93" s="131" t="str">
        <f>IFERROR(__xludf.DUMMYFUNCTION("""COMPUTED_VALUE"""),"Lukasz Ciesielski")</f>
        <v>Lukasz Ciesielski</v>
      </c>
      <c r="E93" s="131" t="str">
        <f>IFERROR(__xludf.DUMMYFUNCTION("""COMPUTED_VALUE"""),"Poland")</f>
        <v>Poland</v>
      </c>
      <c r="F93" s="131" t="str">
        <f>IFERROR(__xludf.DUMMYFUNCTION("""COMPUTED_VALUE"""),"BMW E36")</f>
        <v>BMW E36</v>
      </c>
      <c r="G93" s="133" t="str">
        <f>IFERROR(__xludf.DUMMYFUNCTION("""COMPUTED_VALUE"""),"SIONE HAWKY")</f>
        <v>SIONE HAWKY</v>
      </c>
      <c r="H93" s="133" t="str">
        <f>IFERROR(__xludf.DUMMYFUNCTION("""COMPUTED_VALUE"""),"")</f>
        <v/>
      </c>
      <c r="I93" s="133" t="str">
        <f>IFERROR(__xludf.DUMMYFUNCTION("""COMPUTED_VALUE"""),"")</f>
        <v/>
      </c>
      <c r="J93" s="134">
        <f>IFERROR(__xludf.DUMMYFUNCTION("""COMPUTED_VALUE"""),10.1)</f>
        <v>10.1</v>
      </c>
      <c r="K93" s="135">
        <f>IFERROR(__xludf.DUMMYFUNCTION("""COMPUTED_VALUE"""),10.1)</f>
        <v>10.1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>
      <c r="A94" s="13"/>
      <c r="B94" s="131">
        <f>IFERROR(__xludf.DUMMYFUNCTION("""COMPUTED_VALUE"""),92.0)</f>
        <v>92</v>
      </c>
      <c r="C94" s="131">
        <f>IFERROR(__xludf.DUMMYFUNCTION("""COMPUTED_VALUE"""),701.0)</f>
        <v>701</v>
      </c>
      <c r="D94" s="131" t="str">
        <f>IFERROR(__xludf.DUMMYFUNCTION("""COMPUTED_VALUE"""),"Krystian Kuras")</f>
        <v>Krystian Kuras</v>
      </c>
      <c r="E94" s="131" t="str">
        <f>IFERROR(__xludf.DUMMYFUNCTION("""COMPUTED_VALUE"""),"Poland")</f>
        <v>Poland</v>
      </c>
      <c r="F94" s="131" t="str">
        <f>IFERROR(__xludf.DUMMYFUNCTION("""COMPUTED_VALUE"""),"BMW E36")</f>
        <v>BMW E36</v>
      </c>
      <c r="G94" s="133" t="str">
        <f>IFERROR(__xludf.DUMMYFUNCTION("""COMPUTED_VALUE"""),"BSRig")</f>
        <v>BSRig</v>
      </c>
      <c r="H94" s="133" t="str">
        <f>IFERROR(__xludf.DUMMYFUNCTION("""COMPUTED_VALUE"""),"")</f>
        <v/>
      </c>
      <c r="I94" s="133" t="str">
        <f>IFERROR(__xludf.DUMMYFUNCTION("""COMPUTED_VALUE"""),"")</f>
        <v/>
      </c>
      <c r="J94" s="134">
        <f>IFERROR(__xludf.DUMMYFUNCTION("""COMPUTED_VALUE"""),10.1)</f>
        <v>10.1</v>
      </c>
      <c r="K94" s="135">
        <f>IFERROR(__xludf.DUMMYFUNCTION("""COMPUTED_VALUE"""),10.1)</f>
        <v>10.1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>
      <c r="A95" s="13"/>
      <c r="B95" s="131">
        <f>IFERROR(__xludf.DUMMYFUNCTION("""COMPUTED_VALUE"""),93.0)</f>
        <v>93</v>
      </c>
      <c r="C95" s="131">
        <f>IFERROR(__xludf.DUMMYFUNCTION("""COMPUTED_VALUE"""),930.0)</f>
        <v>930</v>
      </c>
      <c r="D95" s="131" t="str">
        <f>IFERROR(__xludf.DUMMYFUNCTION("""COMPUTED_VALUE"""),"Enkh-Amgalan Gankhuyag")</f>
        <v>Enkh-Amgalan Gankhuyag</v>
      </c>
      <c r="E95" s="131" t="str">
        <f>IFERROR(__xludf.DUMMYFUNCTION("""COMPUTED_VALUE"""),"Mongolia")</f>
        <v>Mongolia</v>
      </c>
      <c r="F95" s="131" t="str">
        <f>IFERROR(__xludf.DUMMYFUNCTION("""COMPUTED_VALUE"""),"BMW E46")</f>
        <v>BMW E46</v>
      </c>
      <c r="G95" s="133" t="str">
        <f>IFERROR(__xludf.DUMMYFUNCTION("""COMPUTED_VALUE"""),"Epic sim racing")</f>
        <v>Epic sim racing</v>
      </c>
      <c r="H95" s="133" t="str">
        <f>IFERROR(__xludf.DUMMYFUNCTION("""COMPUTED_VALUE"""),"")</f>
        <v/>
      </c>
      <c r="I95" s="133" t="str">
        <f>IFERROR(__xludf.DUMMYFUNCTION("""COMPUTED_VALUE"""),"")</f>
        <v/>
      </c>
      <c r="J95" s="134">
        <f>IFERROR(__xludf.DUMMYFUNCTION("""COMPUTED_VALUE"""),10.1)</f>
        <v>10.1</v>
      </c>
      <c r="K95" s="135">
        <f>IFERROR(__xludf.DUMMYFUNCTION("""COMPUTED_VALUE"""),10.1)</f>
        <v>10.1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>
      <c r="A96" s="13"/>
      <c r="B96" s="131" t="str">
        <f>IFERROR(__xludf.DUMMYFUNCTION("""COMPUTED_VALUE"""),"")</f>
        <v/>
      </c>
      <c r="C96" s="131"/>
      <c r="D96" s="131" t="str">
        <f>IFERROR(__xludf.DUMMYFUNCTION("""COMPUTED_VALUE"""),"")</f>
        <v/>
      </c>
      <c r="E96" s="131" t="str">
        <f>IFERROR(__xludf.DUMMYFUNCTION("""COMPUTED_VALUE"""),"")</f>
        <v/>
      </c>
      <c r="F96" s="131" t="str">
        <f>IFERROR(__xludf.DUMMYFUNCTION("""COMPUTED_VALUE"""),"")</f>
        <v/>
      </c>
      <c r="G96" s="133" t="str">
        <f>IFERROR(__xludf.DUMMYFUNCTION("""COMPUTED_VALUE"""),"")</f>
        <v/>
      </c>
      <c r="H96" s="133" t="str">
        <f>IFERROR(__xludf.DUMMYFUNCTION("""COMPUTED_VALUE"""),"")</f>
        <v/>
      </c>
      <c r="I96" s="133" t="str">
        <f>IFERROR(__xludf.DUMMYFUNCTION("""COMPUTED_VALUE"""),"")</f>
        <v/>
      </c>
      <c r="J96" s="134" t="str">
        <f>IFERROR(__xludf.DUMMYFUNCTION("""COMPUTED_VALUE"""),"")</f>
        <v/>
      </c>
      <c r="K96" s="135">
        <f>IFERROR(__xludf.DUMMYFUNCTION("""COMPUTED_VALUE"""),0.0)</f>
        <v>0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>
      <c r="A97" s="13"/>
      <c r="B97" s="131" t="str">
        <f>IFERROR(__xludf.DUMMYFUNCTION("""COMPUTED_VALUE"""),"")</f>
        <v/>
      </c>
      <c r="C97" s="131"/>
      <c r="D97" s="131" t="str">
        <f>IFERROR(__xludf.DUMMYFUNCTION("""COMPUTED_VALUE"""),"")</f>
        <v/>
      </c>
      <c r="E97" s="131" t="str">
        <f>IFERROR(__xludf.DUMMYFUNCTION("""COMPUTED_VALUE"""),"")</f>
        <v/>
      </c>
      <c r="F97" s="131" t="str">
        <f>IFERROR(__xludf.DUMMYFUNCTION("""COMPUTED_VALUE"""),"")</f>
        <v/>
      </c>
      <c r="G97" s="133" t="str">
        <f>IFERROR(__xludf.DUMMYFUNCTION("""COMPUTED_VALUE"""),"")</f>
        <v/>
      </c>
      <c r="H97" s="133" t="str">
        <f>IFERROR(__xludf.DUMMYFUNCTION("""COMPUTED_VALUE"""),"")</f>
        <v/>
      </c>
      <c r="I97" s="133" t="str">
        <f>IFERROR(__xludf.DUMMYFUNCTION("""COMPUTED_VALUE"""),"")</f>
        <v/>
      </c>
      <c r="J97" s="134" t="str">
        <f>IFERROR(__xludf.DUMMYFUNCTION("""COMPUTED_VALUE"""),"")</f>
        <v/>
      </c>
      <c r="K97" s="135">
        <f>IFERROR(__xludf.DUMMYFUNCTION("""COMPUTED_VALUE"""),0.0)</f>
        <v>0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>
      <c r="A98" s="13"/>
      <c r="B98" s="131" t="str">
        <f>IFERROR(__xludf.DUMMYFUNCTION("""COMPUTED_VALUE"""),"")</f>
        <v/>
      </c>
      <c r="C98" s="131"/>
      <c r="D98" s="131" t="str">
        <f>IFERROR(__xludf.DUMMYFUNCTION("""COMPUTED_VALUE"""),"")</f>
        <v/>
      </c>
      <c r="E98" s="131" t="str">
        <f>IFERROR(__xludf.DUMMYFUNCTION("""COMPUTED_VALUE"""),"")</f>
        <v/>
      </c>
      <c r="F98" s="131" t="str">
        <f>IFERROR(__xludf.DUMMYFUNCTION("""COMPUTED_VALUE"""),"")</f>
        <v/>
      </c>
      <c r="G98" s="133" t="str">
        <f>IFERROR(__xludf.DUMMYFUNCTION("""COMPUTED_VALUE"""),"")</f>
        <v/>
      </c>
      <c r="H98" s="133" t="str">
        <f>IFERROR(__xludf.DUMMYFUNCTION("""COMPUTED_VALUE"""),"")</f>
        <v/>
      </c>
      <c r="I98" s="133" t="str">
        <f>IFERROR(__xludf.DUMMYFUNCTION("""COMPUTED_VALUE"""),"")</f>
        <v/>
      </c>
      <c r="J98" s="134" t="str">
        <f>IFERROR(__xludf.DUMMYFUNCTION("""COMPUTED_VALUE"""),"")</f>
        <v/>
      </c>
      <c r="K98" s="135">
        <f>IFERROR(__xludf.DUMMYFUNCTION("""COMPUTED_VALUE"""),0.0)</f>
        <v>0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>
      <c r="A99" s="13"/>
      <c r="B99" s="131" t="str">
        <f>IFERROR(__xludf.DUMMYFUNCTION("""COMPUTED_VALUE"""),"")</f>
        <v/>
      </c>
      <c r="C99" s="131"/>
      <c r="D99" s="131" t="str">
        <f>IFERROR(__xludf.DUMMYFUNCTION("""COMPUTED_VALUE"""),"")</f>
        <v/>
      </c>
      <c r="E99" s="131" t="str">
        <f>IFERROR(__xludf.DUMMYFUNCTION("""COMPUTED_VALUE"""),"")</f>
        <v/>
      </c>
      <c r="F99" s="131" t="str">
        <f>IFERROR(__xludf.DUMMYFUNCTION("""COMPUTED_VALUE"""),"")</f>
        <v/>
      </c>
      <c r="G99" s="133" t="str">
        <f>IFERROR(__xludf.DUMMYFUNCTION("""COMPUTED_VALUE"""),"")</f>
        <v/>
      </c>
      <c r="H99" s="133" t="str">
        <f>IFERROR(__xludf.DUMMYFUNCTION("""COMPUTED_VALUE"""),"")</f>
        <v/>
      </c>
      <c r="I99" s="133" t="str">
        <f>IFERROR(__xludf.DUMMYFUNCTION("""COMPUTED_VALUE"""),"")</f>
        <v/>
      </c>
      <c r="J99" s="134" t="str">
        <f>IFERROR(__xludf.DUMMYFUNCTION("""COMPUTED_VALUE"""),"")</f>
        <v/>
      </c>
      <c r="K99" s="135">
        <f>IFERROR(__xludf.DUMMYFUNCTION("""COMPUTED_VALUE"""),0.0)</f>
        <v>0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>
      <c r="A100" s="13"/>
      <c r="B100" s="131" t="str">
        <f>IFERROR(__xludf.DUMMYFUNCTION("""COMPUTED_VALUE"""),"")</f>
        <v/>
      </c>
      <c r="C100" s="131"/>
      <c r="D100" s="131" t="str">
        <f>IFERROR(__xludf.DUMMYFUNCTION("""COMPUTED_VALUE"""),"")</f>
        <v/>
      </c>
      <c r="E100" s="131" t="str">
        <f>IFERROR(__xludf.DUMMYFUNCTION("""COMPUTED_VALUE"""),"")</f>
        <v/>
      </c>
      <c r="F100" s="131" t="str">
        <f>IFERROR(__xludf.DUMMYFUNCTION("""COMPUTED_VALUE"""),"")</f>
        <v/>
      </c>
      <c r="G100" s="133" t="str">
        <f>IFERROR(__xludf.DUMMYFUNCTION("""COMPUTED_VALUE"""),"")</f>
        <v/>
      </c>
      <c r="H100" s="133" t="str">
        <f>IFERROR(__xludf.DUMMYFUNCTION("""COMPUTED_VALUE"""),"")</f>
        <v/>
      </c>
      <c r="I100" s="133" t="str">
        <f>IFERROR(__xludf.DUMMYFUNCTION("""COMPUTED_VALUE"""),"")</f>
        <v/>
      </c>
      <c r="J100" s="134" t="str">
        <f>IFERROR(__xludf.DUMMYFUNCTION("""COMPUTED_VALUE"""),"")</f>
        <v/>
      </c>
      <c r="K100" s="135">
        <f>IFERROR(__xludf.DUMMYFUNCTION("""COMPUTED_VALUE"""),0.0)</f>
        <v>0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>
      <c r="A101" s="13"/>
      <c r="B101" s="131" t="str">
        <f>IFERROR(__xludf.DUMMYFUNCTION("""COMPUTED_VALUE"""),"")</f>
        <v/>
      </c>
      <c r="C101" s="131"/>
      <c r="D101" s="131" t="str">
        <f>IFERROR(__xludf.DUMMYFUNCTION("""COMPUTED_VALUE"""),"")</f>
        <v/>
      </c>
      <c r="E101" s="131" t="str">
        <f>IFERROR(__xludf.DUMMYFUNCTION("""COMPUTED_VALUE"""),"")</f>
        <v/>
      </c>
      <c r="F101" s="131" t="str">
        <f>IFERROR(__xludf.DUMMYFUNCTION("""COMPUTED_VALUE"""),"")</f>
        <v/>
      </c>
      <c r="G101" s="133" t="str">
        <f>IFERROR(__xludf.DUMMYFUNCTION("""COMPUTED_VALUE"""),"")</f>
        <v/>
      </c>
      <c r="H101" s="133" t="str">
        <f>IFERROR(__xludf.DUMMYFUNCTION("""COMPUTED_VALUE"""),"")</f>
        <v/>
      </c>
      <c r="I101" s="133" t="str">
        <f>IFERROR(__xludf.DUMMYFUNCTION("""COMPUTED_VALUE"""),"")</f>
        <v/>
      </c>
      <c r="J101" s="134" t="str">
        <f>IFERROR(__xludf.DUMMYFUNCTION("""COMPUTED_VALUE"""),"")</f>
        <v/>
      </c>
      <c r="K101" s="135">
        <f>IFERROR(__xludf.DUMMYFUNCTION("""COMPUTED_VALUE"""),0.0)</f>
        <v>0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>
      <c r="A102" s="13"/>
      <c r="B102" s="131" t="str">
        <f>IFERROR(__xludf.DUMMYFUNCTION("""COMPUTED_VALUE"""),"")</f>
        <v/>
      </c>
      <c r="C102" s="131"/>
      <c r="D102" s="131" t="str">
        <f>IFERROR(__xludf.DUMMYFUNCTION("""COMPUTED_VALUE"""),"")</f>
        <v/>
      </c>
      <c r="E102" s="131" t="str">
        <f>IFERROR(__xludf.DUMMYFUNCTION("""COMPUTED_VALUE"""),"")</f>
        <v/>
      </c>
      <c r="F102" s="131" t="str">
        <f>IFERROR(__xludf.DUMMYFUNCTION("""COMPUTED_VALUE"""),"")</f>
        <v/>
      </c>
      <c r="G102" s="133" t="str">
        <f>IFERROR(__xludf.DUMMYFUNCTION("""COMPUTED_VALUE"""),"")</f>
        <v/>
      </c>
      <c r="H102" s="133" t="str">
        <f>IFERROR(__xludf.DUMMYFUNCTION("""COMPUTED_VALUE"""),"")</f>
        <v/>
      </c>
      <c r="I102" s="133" t="str">
        <f>IFERROR(__xludf.DUMMYFUNCTION("""COMPUTED_VALUE"""),"")</f>
        <v/>
      </c>
      <c r="J102" s="134" t="str">
        <f>IFERROR(__xludf.DUMMYFUNCTION("""COMPUTED_VALUE"""),"")</f>
        <v/>
      </c>
      <c r="K102" s="135">
        <f>IFERROR(__xludf.DUMMYFUNCTION("""COMPUTED_VALUE"""),0.0)</f>
        <v>0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>
      <c r="A103" s="13"/>
      <c r="B103" s="131" t="str">
        <f>IFERROR(__xludf.DUMMYFUNCTION("""COMPUTED_VALUE"""),"")</f>
        <v/>
      </c>
      <c r="C103" s="131"/>
      <c r="D103" s="131" t="str">
        <f>IFERROR(__xludf.DUMMYFUNCTION("""COMPUTED_VALUE"""),"")</f>
        <v/>
      </c>
      <c r="E103" s="131" t="str">
        <f>IFERROR(__xludf.DUMMYFUNCTION("""COMPUTED_VALUE"""),"")</f>
        <v/>
      </c>
      <c r="F103" s="131" t="str">
        <f>IFERROR(__xludf.DUMMYFUNCTION("""COMPUTED_VALUE"""),"")</f>
        <v/>
      </c>
      <c r="G103" s="133" t="str">
        <f>IFERROR(__xludf.DUMMYFUNCTION("""COMPUTED_VALUE"""),"")</f>
        <v/>
      </c>
      <c r="H103" s="133" t="str">
        <f>IFERROR(__xludf.DUMMYFUNCTION("""COMPUTED_VALUE"""),"")</f>
        <v/>
      </c>
      <c r="I103" s="133" t="str">
        <f>IFERROR(__xludf.DUMMYFUNCTION("""COMPUTED_VALUE"""),"")</f>
        <v/>
      </c>
      <c r="J103" s="134" t="str">
        <f>IFERROR(__xludf.DUMMYFUNCTION("""COMPUTED_VALUE"""),"")</f>
        <v/>
      </c>
      <c r="K103" s="135">
        <f>IFERROR(__xludf.DUMMYFUNCTION("""COMPUTED_VALUE"""),0.0)</f>
        <v>0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>
      <c r="A104" s="13"/>
      <c r="B104" s="131" t="str">
        <f>IFERROR(__xludf.DUMMYFUNCTION("""COMPUTED_VALUE"""),"")</f>
        <v/>
      </c>
      <c r="C104" s="131"/>
      <c r="D104" s="131" t="str">
        <f>IFERROR(__xludf.DUMMYFUNCTION("""COMPUTED_VALUE"""),"")</f>
        <v/>
      </c>
      <c r="E104" s="131" t="str">
        <f>IFERROR(__xludf.DUMMYFUNCTION("""COMPUTED_VALUE"""),"")</f>
        <v/>
      </c>
      <c r="F104" s="131" t="str">
        <f>IFERROR(__xludf.DUMMYFUNCTION("""COMPUTED_VALUE"""),"")</f>
        <v/>
      </c>
      <c r="G104" s="133" t="str">
        <f>IFERROR(__xludf.DUMMYFUNCTION("""COMPUTED_VALUE"""),"")</f>
        <v/>
      </c>
      <c r="H104" s="133" t="str">
        <f>IFERROR(__xludf.DUMMYFUNCTION("""COMPUTED_VALUE"""),"")</f>
        <v/>
      </c>
      <c r="I104" s="133" t="str">
        <f>IFERROR(__xludf.DUMMYFUNCTION("""COMPUTED_VALUE"""),"")</f>
        <v/>
      </c>
      <c r="J104" s="134" t="str">
        <f>IFERROR(__xludf.DUMMYFUNCTION("""COMPUTED_VALUE"""),"")</f>
        <v/>
      </c>
      <c r="K104" s="135">
        <f>IFERROR(__xludf.DUMMYFUNCTION("""COMPUTED_VALUE"""),0.0)</f>
        <v>0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>
      <c r="A105" s="13"/>
      <c r="B105" s="131">
        <f>IFERROR(__xludf.DUMMYFUNCTION("""COMPUTED_VALUE"""),103.0)</f>
        <v>103</v>
      </c>
      <c r="C105" s="131">
        <f>IFERROR(__xludf.DUMMYFUNCTION("""COMPUTED_VALUE"""),112.0)</f>
        <v>112</v>
      </c>
      <c r="D105" s="131" t="str">
        <f>IFERROR(__xludf.DUMMYFUNCTION("""COMPUTED_VALUE"""),"Dario Pavlin")</f>
        <v>Dario Pavlin</v>
      </c>
      <c r="E105" s="131" t="str">
        <f>IFERROR(__xludf.DUMMYFUNCTION("""COMPUTED_VALUE"""),"Croatia")</f>
        <v>Croatia</v>
      </c>
      <c r="F105" s="131" t="str">
        <f>IFERROR(__xludf.DUMMYFUNCTION("""COMPUTED_VALUE"""),"BMW E46")</f>
        <v>BMW E46</v>
      </c>
      <c r="G105" s="133" t="str">
        <f>IFERROR(__xludf.DUMMYFUNCTION("""COMPUTED_VALUE"""),"dpracing")</f>
        <v>dpracing</v>
      </c>
      <c r="H105" s="133" t="str">
        <f>IFERROR(__xludf.DUMMYFUNCTION("""COMPUTED_VALUE"""),"")</f>
        <v/>
      </c>
      <c r="I105" s="133" t="str">
        <f>IFERROR(__xludf.DUMMYFUNCTION("""COMPUTED_VALUE"""),"")</f>
        <v/>
      </c>
      <c r="J105" s="134" t="str">
        <f>IFERROR(__xludf.DUMMYFUNCTION("""COMPUTED_VALUE"""),"")</f>
        <v/>
      </c>
      <c r="K105" s="135">
        <f>IFERROR(__xludf.DUMMYFUNCTION("""COMPUTED_VALUE"""),0.0)</f>
        <v>0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>
      <c r="A106" s="13"/>
      <c r="B106" s="131">
        <f>IFERROR(__xludf.DUMMYFUNCTION("""COMPUTED_VALUE"""),104.0)</f>
        <v>104</v>
      </c>
      <c r="C106" s="131">
        <f>IFERROR(__xludf.DUMMYFUNCTION("""COMPUTED_VALUE"""),20.0)</f>
        <v>20</v>
      </c>
      <c r="D106" s="131" t="str">
        <f>IFERROR(__xludf.DUMMYFUNCTION("""COMPUTED_VALUE"""),"Henri Ristinen")</f>
        <v>Henri Ristinen</v>
      </c>
      <c r="E106" s="131" t="str">
        <f>IFERROR(__xludf.DUMMYFUNCTION("""COMPUTED_VALUE"""),"Finland")</f>
        <v>Finland</v>
      </c>
      <c r="F106" s="131" t="str">
        <f>IFERROR(__xludf.DUMMYFUNCTION("""COMPUTED_VALUE"""),"BMW E36")</f>
        <v>BMW E36</v>
      </c>
      <c r="G106" s="132"/>
      <c r="H106" s="133" t="str">
        <f>IFERROR(__xludf.DUMMYFUNCTION("""COMPUTED_VALUE"""),"")</f>
        <v/>
      </c>
      <c r="I106" s="133" t="str">
        <f>IFERROR(__xludf.DUMMYFUNCTION("""COMPUTED_VALUE"""),"")</f>
        <v/>
      </c>
      <c r="J106" s="134" t="str">
        <f>IFERROR(__xludf.DUMMYFUNCTION("""COMPUTED_VALUE"""),"")</f>
        <v/>
      </c>
      <c r="K106" s="135">
        <f>IFERROR(__xludf.DUMMYFUNCTION("""COMPUTED_VALUE"""),0.0)</f>
        <v>0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>
      <c r="A107" s="13"/>
      <c r="B107" s="131" t="str">
        <f>IFERROR(__xludf.DUMMYFUNCTION("""COMPUTED_VALUE"""),"")</f>
        <v/>
      </c>
      <c r="C107" s="131"/>
      <c r="D107" s="131" t="str">
        <f>IFERROR(__xludf.DUMMYFUNCTION("""COMPUTED_VALUE"""),"")</f>
        <v/>
      </c>
      <c r="E107" s="131" t="str">
        <f>IFERROR(__xludf.DUMMYFUNCTION("""COMPUTED_VALUE"""),"")</f>
        <v/>
      </c>
      <c r="F107" s="131" t="str">
        <f>IFERROR(__xludf.DUMMYFUNCTION("""COMPUTED_VALUE"""),"")</f>
        <v/>
      </c>
      <c r="G107" s="133" t="str">
        <f>IFERROR(__xludf.DUMMYFUNCTION("""COMPUTED_VALUE"""),"")</f>
        <v/>
      </c>
      <c r="H107" s="133" t="str">
        <f>IFERROR(__xludf.DUMMYFUNCTION("""COMPUTED_VALUE"""),"")</f>
        <v/>
      </c>
      <c r="I107" s="133" t="str">
        <f>IFERROR(__xludf.DUMMYFUNCTION("""COMPUTED_VALUE"""),"")</f>
        <v/>
      </c>
      <c r="J107" s="134" t="str">
        <f>IFERROR(__xludf.DUMMYFUNCTION("""COMPUTED_VALUE"""),"")</f>
        <v/>
      </c>
      <c r="K107" s="135">
        <f>IFERROR(__xludf.DUMMYFUNCTION("""COMPUTED_VALUE"""),0.0)</f>
        <v>0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>
      <c r="A108" s="13"/>
      <c r="B108" s="131">
        <f>IFERROR(__xludf.DUMMYFUNCTION("""COMPUTED_VALUE"""),106.0)</f>
        <v>106</v>
      </c>
      <c r="C108" s="131">
        <f>IFERROR(__xludf.DUMMYFUNCTION("""COMPUTED_VALUE"""),811.0)</f>
        <v>811</v>
      </c>
      <c r="D108" s="131" t="str">
        <f>IFERROR(__xludf.DUMMYFUNCTION("""COMPUTED_VALUE"""),"Marc O'Rourke")</f>
        <v>Marc O'Rourke</v>
      </c>
      <c r="E108" s="131" t="str">
        <f>IFERROR(__xludf.DUMMYFUNCTION("""COMPUTED_VALUE"""),"Ireland")</f>
        <v>Ireland</v>
      </c>
      <c r="F108" s="131" t="str">
        <f>IFERROR(__xludf.DUMMYFUNCTION("""COMPUTED_VALUE"""),"BMW E46")</f>
        <v>BMW E46</v>
      </c>
      <c r="G108" s="133" t="str">
        <f>IFERROR(__xludf.DUMMYFUNCTION("""COMPUTED_VALUE"""),"Team Awake")</f>
        <v>Team Awake</v>
      </c>
      <c r="H108" s="133" t="str">
        <f>IFERROR(__xludf.DUMMYFUNCTION("""COMPUTED_VALUE"""),"")</f>
        <v/>
      </c>
      <c r="I108" s="133" t="str">
        <f>IFERROR(__xludf.DUMMYFUNCTION("""COMPUTED_VALUE"""),"")</f>
        <v/>
      </c>
      <c r="J108" s="134" t="str">
        <f>IFERROR(__xludf.DUMMYFUNCTION("""COMPUTED_VALUE"""),"")</f>
        <v/>
      </c>
      <c r="K108" s="135">
        <f>IFERROR(__xludf.DUMMYFUNCTION("""COMPUTED_VALUE"""),0.0)</f>
        <v>0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>
      <c r="A109" s="13"/>
      <c r="B109" s="131">
        <f>IFERROR(__xludf.DUMMYFUNCTION("""COMPUTED_VALUE"""),107.0)</f>
        <v>107</v>
      </c>
      <c r="C109" s="131">
        <f>IFERROR(__xludf.DUMMYFUNCTION("""COMPUTED_VALUE"""),101.0)</f>
        <v>101</v>
      </c>
      <c r="D109" s="131" t="str">
        <f>IFERROR(__xludf.DUMMYFUNCTION("""COMPUTED_VALUE"""),"Danils Dolganovs")</f>
        <v>Danils Dolganovs</v>
      </c>
      <c r="E109" s="131" t="str">
        <f>IFERROR(__xludf.DUMMYFUNCTION("""COMPUTED_VALUE"""),"Latvia")</f>
        <v>Latvia</v>
      </c>
      <c r="F109" s="131" t="str">
        <f>IFERROR(__xludf.DUMMYFUNCTION("""COMPUTED_VALUE"""),"BMW E36")</f>
        <v>BMW E36</v>
      </c>
      <c r="G109" s="132"/>
      <c r="H109" s="133" t="str">
        <f>IFERROR(__xludf.DUMMYFUNCTION("""COMPUTED_VALUE"""),"")</f>
        <v/>
      </c>
      <c r="I109" s="133" t="str">
        <f>IFERROR(__xludf.DUMMYFUNCTION("""COMPUTED_VALUE"""),"")</f>
        <v/>
      </c>
      <c r="J109" s="134" t="str">
        <f>IFERROR(__xludf.DUMMYFUNCTION("""COMPUTED_VALUE"""),"")</f>
        <v/>
      </c>
      <c r="K109" s="135">
        <f>IFERROR(__xludf.DUMMYFUNCTION("""COMPUTED_VALUE"""),0.0)</f>
        <v>0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>
      <c r="A110" s="13"/>
      <c r="B110" s="131">
        <f>IFERROR(__xludf.DUMMYFUNCTION("""COMPUTED_VALUE"""),108.0)</f>
        <v>108</v>
      </c>
      <c r="C110" s="131">
        <f>IFERROR(__xludf.DUMMYFUNCTION("""COMPUTED_VALUE"""),225.0)</f>
        <v>225</v>
      </c>
      <c r="D110" s="131" t="str">
        <f>IFERROR(__xludf.DUMMYFUNCTION("""COMPUTED_VALUE"""),"Ilnur Sembayev")</f>
        <v>Ilnur Sembayev</v>
      </c>
      <c r="E110" s="131" t="str">
        <f>IFERROR(__xludf.DUMMYFUNCTION("""COMPUTED_VALUE"""),"Kazakhstan")</f>
        <v>Kazakhstan</v>
      </c>
      <c r="F110" s="131" t="str">
        <f>IFERROR(__xludf.DUMMYFUNCTION("""COMPUTED_VALUE"""),"BMW E36")</f>
        <v>BMW E36</v>
      </c>
      <c r="G110" s="133" t="str">
        <f>IFERROR(__xludf.DUMMYFUNCTION("""COMPUTED_VALUE"""),"RacePlace")</f>
        <v>RacePlace</v>
      </c>
      <c r="H110" s="133" t="str">
        <f>IFERROR(__xludf.DUMMYFUNCTION("""COMPUTED_VALUE"""),"")</f>
        <v/>
      </c>
      <c r="I110" s="133" t="str">
        <f>IFERROR(__xludf.DUMMYFUNCTION("""COMPUTED_VALUE"""),"")</f>
        <v/>
      </c>
      <c r="J110" s="134" t="str">
        <f>IFERROR(__xludf.DUMMYFUNCTION("""COMPUTED_VALUE"""),"")</f>
        <v/>
      </c>
      <c r="K110" s="135">
        <f>IFERROR(__xludf.DUMMYFUNCTION("""COMPUTED_VALUE"""),0.0)</f>
        <v>0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>
      <c r="A111" s="13"/>
      <c r="B111" s="131">
        <f>IFERROR(__xludf.DUMMYFUNCTION("""COMPUTED_VALUE"""),109.0)</f>
        <v>109</v>
      </c>
      <c r="C111" s="131">
        <f>IFERROR(__xludf.DUMMYFUNCTION("""COMPUTED_VALUE"""),21.0)</f>
        <v>21</v>
      </c>
      <c r="D111" s="131" t="str">
        <f>IFERROR(__xludf.DUMMYFUNCTION("""COMPUTED_VALUE"""),"Cian O Hanlon")</f>
        <v>Cian O Hanlon</v>
      </c>
      <c r="E111" s="131" t="str">
        <f>IFERROR(__xludf.DUMMYFUNCTION("""COMPUTED_VALUE"""),"Ireland")</f>
        <v>Ireland</v>
      </c>
      <c r="F111" s="131" t="str">
        <f>IFERROR(__xludf.DUMMYFUNCTION("""COMPUTED_VALUE"""),"BMW E46")</f>
        <v>BMW E46</v>
      </c>
      <c r="G111" s="133" t="str">
        <f>IFERROR(__xludf.DUMMYFUNCTION("""COMPUTED_VALUE"""),"443 motorsport")</f>
        <v>443 motorsport</v>
      </c>
      <c r="H111" s="133" t="str">
        <f>IFERROR(__xludf.DUMMYFUNCTION("""COMPUTED_VALUE"""),"")</f>
        <v/>
      </c>
      <c r="I111" s="133" t="str">
        <f>IFERROR(__xludf.DUMMYFUNCTION("""COMPUTED_VALUE"""),"")</f>
        <v/>
      </c>
      <c r="J111" s="134" t="str">
        <f>IFERROR(__xludf.DUMMYFUNCTION("""COMPUTED_VALUE"""),"")</f>
        <v/>
      </c>
      <c r="K111" s="135">
        <f>IFERROR(__xludf.DUMMYFUNCTION("""COMPUTED_VALUE"""),0.0)</f>
        <v>0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>
      <c r="A112" s="13"/>
      <c r="B112" s="131" t="str">
        <f>IFERROR(__xludf.DUMMYFUNCTION("""COMPUTED_VALUE"""),"")</f>
        <v/>
      </c>
      <c r="C112" s="131"/>
      <c r="D112" s="131" t="str">
        <f>IFERROR(__xludf.DUMMYFUNCTION("""COMPUTED_VALUE"""),"")</f>
        <v/>
      </c>
      <c r="E112" s="131" t="str">
        <f>IFERROR(__xludf.DUMMYFUNCTION("""COMPUTED_VALUE"""),"")</f>
        <v/>
      </c>
      <c r="F112" s="131" t="str">
        <f>IFERROR(__xludf.DUMMYFUNCTION("""COMPUTED_VALUE"""),"")</f>
        <v/>
      </c>
      <c r="G112" s="133" t="str">
        <f>IFERROR(__xludf.DUMMYFUNCTION("""COMPUTED_VALUE"""),"")</f>
        <v/>
      </c>
      <c r="H112" s="133" t="str">
        <f>IFERROR(__xludf.DUMMYFUNCTION("""COMPUTED_VALUE"""),"")</f>
        <v/>
      </c>
      <c r="I112" s="133" t="str">
        <f>IFERROR(__xludf.DUMMYFUNCTION("""COMPUTED_VALUE"""),"")</f>
        <v/>
      </c>
      <c r="J112" s="134" t="str">
        <f>IFERROR(__xludf.DUMMYFUNCTION("""COMPUTED_VALUE"""),"")</f>
        <v/>
      </c>
      <c r="K112" s="135">
        <f>IFERROR(__xludf.DUMMYFUNCTION("""COMPUTED_VALUE"""),0.0)</f>
        <v>0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>
      <c r="A113" s="13"/>
      <c r="B113" s="131" t="str">
        <f>IFERROR(__xludf.DUMMYFUNCTION("""COMPUTED_VALUE"""),"")</f>
        <v/>
      </c>
      <c r="C113" s="131"/>
      <c r="D113" s="131" t="str">
        <f>IFERROR(__xludf.DUMMYFUNCTION("""COMPUTED_VALUE"""),"")</f>
        <v/>
      </c>
      <c r="E113" s="131" t="str">
        <f>IFERROR(__xludf.DUMMYFUNCTION("""COMPUTED_VALUE"""),"")</f>
        <v/>
      </c>
      <c r="F113" s="131" t="str">
        <f>IFERROR(__xludf.DUMMYFUNCTION("""COMPUTED_VALUE"""),"")</f>
        <v/>
      </c>
      <c r="G113" s="133" t="str">
        <f>IFERROR(__xludf.DUMMYFUNCTION("""COMPUTED_VALUE"""),"")</f>
        <v/>
      </c>
      <c r="H113" s="133" t="str">
        <f>IFERROR(__xludf.DUMMYFUNCTION("""COMPUTED_VALUE"""),"")</f>
        <v/>
      </c>
      <c r="I113" s="133" t="str">
        <f>IFERROR(__xludf.DUMMYFUNCTION("""COMPUTED_VALUE"""),"")</f>
        <v/>
      </c>
      <c r="J113" s="134" t="str">
        <f>IFERROR(__xludf.DUMMYFUNCTION("""COMPUTED_VALUE"""),"")</f>
        <v/>
      </c>
      <c r="K113" s="135">
        <f>IFERROR(__xludf.DUMMYFUNCTION("""COMPUTED_VALUE"""),0.0)</f>
        <v>0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>
      <c r="A114" s="13"/>
      <c r="B114" s="131" t="str">
        <f>IFERROR(__xludf.DUMMYFUNCTION("""COMPUTED_VALUE"""),"")</f>
        <v/>
      </c>
      <c r="C114" s="131"/>
      <c r="D114" s="131" t="str">
        <f>IFERROR(__xludf.DUMMYFUNCTION("""COMPUTED_VALUE"""),"")</f>
        <v/>
      </c>
      <c r="E114" s="131" t="str">
        <f>IFERROR(__xludf.DUMMYFUNCTION("""COMPUTED_VALUE"""),"")</f>
        <v/>
      </c>
      <c r="F114" s="131" t="str">
        <f>IFERROR(__xludf.DUMMYFUNCTION("""COMPUTED_VALUE"""),"")</f>
        <v/>
      </c>
      <c r="G114" s="133" t="str">
        <f>IFERROR(__xludf.DUMMYFUNCTION("""COMPUTED_VALUE"""),"")</f>
        <v/>
      </c>
      <c r="H114" s="133" t="str">
        <f>IFERROR(__xludf.DUMMYFUNCTION("""COMPUTED_VALUE"""),"")</f>
        <v/>
      </c>
      <c r="I114" s="133" t="str">
        <f>IFERROR(__xludf.DUMMYFUNCTION("""COMPUTED_VALUE"""),"")</f>
        <v/>
      </c>
      <c r="J114" s="134" t="str">
        <f>IFERROR(__xludf.DUMMYFUNCTION("""COMPUTED_VALUE"""),"")</f>
        <v/>
      </c>
      <c r="K114" s="135">
        <f>IFERROR(__xludf.DUMMYFUNCTION("""COMPUTED_VALUE"""),0.0)</f>
        <v>0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>
      <c r="A115" s="13"/>
      <c r="B115" s="131" t="str">
        <f>IFERROR(__xludf.DUMMYFUNCTION("""COMPUTED_VALUE"""),"")</f>
        <v/>
      </c>
      <c r="C115" s="131"/>
      <c r="D115" s="131" t="str">
        <f>IFERROR(__xludf.DUMMYFUNCTION("""COMPUTED_VALUE"""),"")</f>
        <v/>
      </c>
      <c r="E115" s="131" t="str">
        <f>IFERROR(__xludf.DUMMYFUNCTION("""COMPUTED_VALUE"""),"")</f>
        <v/>
      </c>
      <c r="F115" s="131" t="str">
        <f>IFERROR(__xludf.DUMMYFUNCTION("""COMPUTED_VALUE"""),"")</f>
        <v/>
      </c>
      <c r="G115" s="133" t="str">
        <f>IFERROR(__xludf.DUMMYFUNCTION("""COMPUTED_VALUE"""),"")</f>
        <v/>
      </c>
      <c r="H115" s="133" t="str">
        <f>IFERROR(__xludf.DUMMYFUNCTION("""COMPUTED_VALUE"""),"")</f>
        <v/>
      </c>
      <c r="I115" s="133" t="str">
        <f>IFERROR(__xludf.DUMMYFUNCTION("""COMPUTED_VALUE"""),"")</f>
        <v/>
      </c>
      <c r="J115" s="134" t="str">
        <f>IFERROR(__xludf.DUMMYFUNCTION("""COMPUTED_VALUE"""),"")</f>
        <v/>
      </c>
      <c r="K115" s="135">
        <f>IFERROR(__xludf.DUMMYFUNCTION("""COMPUTED_VALUE"""),0.0)</f>
        <v>0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>
      <c r="A116" s="13"/>
      <c r="B116" s="131" t="str">
        <f>IFERROR(__xludf.DUMMYFUNCTION("""COMPUTED_VALUE"""),"")</f>
        <v/>
      </c>
      <c r="C116" s="131"/>
      <c r="D116" s="131" t="str">
        <f>IFERROR(__xludf.DUMMYFUNCTION("""COMPUTED_VALUE"""),"")</f>
        <v/>
      </c>
      <c r="E116" s="131" t="str">
        <f>IFERROR(__xludf.DUMMYFUNCTION("""COMPUTED_VALUE"""),"")</f>
        <v/>
      </c>
      <c r="F116" s="131" t="str">
        <f>IFERROR(__xludf.DUMMYFUNCTION("""COMPUTED_VALUE"""),"")</f>
        <v/>
      </c>
      <c r="G116" s="133" t="str">
        <f>IFERROR(__xludf.DUMMYFUNCTION("""COMPUTED_VALUE"""),"")</f>
        <v/>
      </c>
      <c r="H116" s="133" t="str">
        <f>IFERROR(__xludf.DUMMYFUNCTION("""COMPUTED_VALUE"""),"")</f>
        <v/>
      </c>
      <c r="I116" s="133" t="str">
        <f>IFERROR(__xludf.DUMMYFUNCTION("""COMPUTED_VALUE"""),"")</f>
        <v/>
      </c>
      <c r="J116" s="134" t="str">
        <f>IFERROR(__xludf.DUMMYFUNCTION("""COMPUTED_VALUE"""),"")</f>
        <v/>
      </c>
      <c r="K116" s="135">
        <f>IFERROR(__xludf.DUMMYFUNCTION("""COMPUTED_VALUE"""),0.0)</f>
        <v>0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>
      <c r="A117" s="13"/>
      <c r="B117" s="131" t="str">
        <f>IFERROR(__xludf.DUMMYFUNCTION("""COMPUTED_VALUE"""),"")</f>
        <v/>
      </c>
      <c r="C117" s="131"/>
      <c r="D117" s="131" t="str">
        <f>IFERROR(__xludf.DUMMYFUNCTION("""COMPUTED_VALUE"""),"")</f>
        <v/>
      </c>
      <c r="E117" s="131" t="str">
        <f>IFERROR(__xludf.DUMMYFUNCTION("""COMPUTED_VALUE"""),"")</f>
        <v/>
      </c>
      <c r="F117" s="131" t="str">
        <f>IFERROR(__xludf.DUMMYFUNCTION("""COMPUTED_VALUE"""),"")</f>
        <v/>
      </c>
      <c r="G117" s="133" t="str">
        <f>IFERROR(__xludf.DUMMYFUNCTION("""COMPUTED_VALUE"""),"")</f>
        <v/>
      </c>
      <c r="H117" s="133" t="str">
        <f>IFERROR(__xludf.DUMMYFUNCTION("""COMPUTED_VALUE"""),"")</f>
        <v/>
      </c>
      <c r="I117" s="133" t="str">
        <f>IFERROR(__xludf.DUMMYFUNCTION("""COMPUTED_VALUE"""),"")</f>
        <v/>
      </c>
      <c r="J117" s="134" t="str">
        <f>IFERROR(__xludf.DUMMYFUNCTION("""COMPUTED_VALUE"""),"")</f>
        <v/>
      </c>
      <c r="K117" s="135">
        <f>IFERROR(__xludf.DUMMYFUNCTION("""COMPUTED_VALUE"""),0.0)</f>
        <v>0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>
      <c r="A118" s="13"/>
      <c r="B118" s="131" t="str">
        <f>IFERROR(__xludf.DUMMYFUNCTION("""COMPUTED_VALUE"""),"")</f>
        <v/>
      </c>
      <c r="C118" s="131"/>
      <c r="D118" s="131" t="str">
        <f>IFERROR(__xludf.DUMMYFUNCTION("""COMPUTED_VALUE"""),"")</f>
        <v/>
      </c>
      <c r="E118" s="131" t="str">
        <f>IFERROR(__xludf.DUMMYFUNCTION("""COMPUTED_VALUE"""),"")</f>
        <v/>
      </c>
      <c r="F118" s="131" t="str">
        <f>IFERROR(__xludf.DUMMYFUNCTION("""COMPUTED_VALUE"""),"")</f>
        <v/>
      </c>
      <c r="G118" s="133" t="str">
        <f>IFERROR(__xludf.DUMMYFUNCTION("""COMPUTED_VALUE"""),"")</f>
        <v/>
      </c>
      <c r="H118" s="133" t="str">
        <f>IFERROR(__xludf.DUMMYFUNCTION("""COMPUTED_VALUE"""),"")</f>
        <v/>
      </c>
      <c r="I118" s="133" t="str">
        <f>IFERROR(__xludf.DUMMYFUNCTION("""COMPUTED_VALUE"""),"")</f>
        <v/>
      </c>
      <c r="J118" s="134" t="str">
        <f>IFERROR(__xludf.DUMMYFUNCTION("""COMPUTED_VALUE"""),"")</f>
        <v/>
      </c>
      <c r="K118" s="135">
        <f>IFERROR(__xludf.DUMMYFUNCTION("""COMPUTED_VALUE"""),0.0)</f>
        <v>0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>
      <c r="A119" s="13"/>
      <c r="B119" s="131" t="str">
        <f>IFERROR(__xludf.DUMMYFUNCTION("""COMPUTED_VALUE"""),"")</f>
        <v/>
      </c>
      <c r="C119" s="131"/>
      <c r="D119" s="131" t="str">
        <f>IFERROR(__xludf.DUMMYFUNCTION("""COMPUTED_VALUE"""),"")</f>
        <v/>
      </c>
      <c r="E119" s="131" t="str">
        <f>IFERROR(__xludf.DUMMYFUNCTION("""COMPUTED_VALUE"""),"")</f>
        <v/>
      </c>
      <c r="F119" s="131" t="str">
        <f>IFERROR(__xludf.DUMMYFUNCTION("""COMPUTED_VALUE"""),"")</f>
        <v/>
      </c>
      <c r="G119" s="133" t="str">
        <f>IFERROR(__xludf.DUMMYFUNCTION("""COMPUTED_VALUE"""),"")</f>
        <v/>
      </c>
      <c r="H119" s="133" t="str">
        <f>IFERROR(__xludf.DUMMYFUNCTION("""COMPUTED_VALUE"""),"")</f>
        <v/>
      </c>
      <c r="I119" s="133" t="str">
        <f>IFERROR(__xludf.DUMMYFUNCTION("""COMPUTED_VALUE"""),"")</f>
        <v/>
      </c>
      <c r="J119" s="134" t="str">
        <f>IFERROR(__xludf.DUMMYFUNCTION("""COMPUTED_VALUE"""),"")</f>
        <v/>
      </c>
      <c r="K119" s="135">
        <f>IFERROR(__xludf.DUMMYFUNCTION("""COMPUTED_VALUE"""),0.0)</f>
        <v>0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>
      <c r="A120" s="13"/>
      <c r="B120" s="131" t="str">
        <f>IFERROR(__xludf.DUMMYFUNCTION("""COMPUTED_VALUE"""),"")</f>
        <v/>
      </c>
      <c r="C120" s="131"/>
      <c r="D120" s="131" t="str">
        <f>IFERROR(__xludf.DUMMYFUNCTION("""COMPUTED_VALUE"""),"")</f>
        <v/>
      </c>
      <c r="E120" s="131" t="str">
        <f>IFERROR(__xludf.DUMMYFUNCTION("""COMPUTED_VALUE"""),"")</f>
        <v/>
      </c>
      <c r="F120" s="131" t="str">
        <f>IFERROR(__xludf.DUMMYFUNCTION("""COMPUTED_VALUE"""),"")</f>
        <v/>
      </c>
      <c r="G120" s="133" t="str">
        <f>IFERROR(__xludf.DUMMYFUNCTION("""COMPUTED_VALUE"""),"")</f>
        <v/>
      </c>
      <c r="H120" s="133" t="str">
        <f>IFERROR(__xludf.DUMMYFUNCTION("""COMPUTED_VALUE"""),"")</f>
        <v/>
      </c>
      <c r="I120" s="133" t="str">
        <f>IFERROR(__xludf.DUMMYFUNCTION("""COMPUTED_VALUE"""),"")</f>
        <v/>
      </c>
      <c r="J120" s="134" t="str">
        <f>IFERROR(__xludf.DUMMYFUNCTION("""COMPUTED_VALUE"""),"")</f>
        <v/>
      </c>
      <c r="K120" s="135">
        <f>IFERROR(__xludf.DUMMYFUNCTION("""COMPUTED_VALUE"""),0.0)</f>
        <v>0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>
      <c r="A121" s="13"/>
      <c r="B121" s="131" t="str">
        <f>IFERROR(__xludf.DUMMYFUNCTION("""COMPUTED_VALUE"""),"")</f>
        <v/>
      </c>
      <c r="C121" s="131"/>
      <c r="D121" s="131" t="str">
        <f>IFERROR(__xludf.DUMMYFUNCTION("""COMPUTED_VALUE"""),"")</f>
        <v/>
      </c>
      <c r="E121" s="131" t="str">
        <f>IFERROR(__xludf.DUMMYFUNCTION("""COMPUTED_VALUE"""),"")</f>
        <v/>
      </c>
      <c r="F121" s="131" t="str">
        <f>IFERROR(__xludf.DUMMYFUNCTION("""COMPUTED_VALUE"""),"")</f>
        <v/>
      </c>
      <c r="G121" s="133" t="str">
        <f>IFERROR(__xludf.DUMMYFUNCTION("""COMPUTED_VALUE"""),"")</f>
        <v/>
      </c>
      <c r="H121" s="133" t="str">
        <f>IFERROR(__xludf.DUMMYFUNCTION("""COMPUTED_VALUE"""),"")</f>
        <v/>
      </c>
      <c r="I121" s="133" t="str">
        <f>IFERROR(__xludf.DUMMYFUNCTION("""COMPUTED_VALUE"""),"")</f>
        <v/>
      </c>
      <c r="J121" s="134" t="str">
        <f>IFERROR(__xludf.DUMMYFUNCTION("""COMPUTED_VALUE"""),"")</f>
        <v/>
      </c>
      <c r="K121" s="135">
        <f>IFERROR(__xludf.DUMMYFUNCTION("""COMPUTED_VALUE"""),0.0)</f>
        <v>0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>
      <c r="A122" s="13"/>
      <c r="B122" s="131" t="str">
        <f>IFERROR(__xludf.DUMMYFUNCTION("""COMPUTED_VALUE"""),"")</f>
        <v/>
      </c>
      <c r="C122" s="131"/>
      <c r="D122" s="131" t="str">
        <f>IFERROR(__xludf.DUMMYFUNCTION("""COMPUTED_VALUE"""),"")</f>
        <v/>
      </c>
      <c r="E122" s="131" t="str">
        <f>IFERROR(__xludf.DUMMYFUNCTION("""COMPUTED_VALUE"""),"")</f>
        <v/>
      </c>
      <c r="F122" s="131" t="str">
        <f>IFERROR(__xludf.DUMMYFUNCTION("""COMPUTED_VALUE"""),"")</f>
        <v/>
      </c>
      <c r="G122" s="133" t="str">
        <f>IFERROR(__xludf.DUMMYFUNCTION("""COMPUTED_VALUE"""),"")</f>
        <v/>
      </c>
      <c r="H122" s="133" t="str">
        <f>IFERROR(__xludf.DUMMYFUNCTION("""COMPUTED_VALUE"""),"")</f>
        <v/>
      </c>
      <c r="I122" s="133" t="str">
        <f>IFERROR(__xludf.DUMMYFUNCTION("""COMPUTED_VALUE"""),"")</f>
        <v/>
      </c>
      <c r="J122" s="134" t="str">
        <f>IFERROR(__xludf.DUMMYFUNCTION("""COMPUTED_VALUE"""),"")</f>
        <v/>
      </c>
      <c r="K122" s="135">
        <f>IFERROR(__xludf.DUMMYFUNCTION("""COMPUTED_VALUE"""),0.0)</f>
        <v>0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>
      <c r="A123" s="13"/>
      <c r="B123" s="131" t="str">
        <f>IFERROR(__xludf.DUMMYFUNCTION("""COMPUTED_VALUE"""),"")</f>
        <v/>
      </c>
      <c r="C123" s="131"/>
      <c r="D123" s="131" t="str">
        <f>IFERROR(__xludf.DUMMYFUNCTION("""COMPUTED_VALUE"""),"")</f>
        <v/>
      </c>
      <c r="E123" s="131" t="str">
        <f>IFERROR(__xludf.DUMMYFUNCTION("""COMPUTED_VALUE"""),"")</f>
        <v/>
      </c>
      <c r="F123" s="131" t="str">
        <f>IFERROR(__xludf.DUMMYFUNCTION("""COMPUTED_VALUE"""),"")</f>
        <v/>
      </c>
      <c r="G123" s="133" t="str">
        <f>IFERROR(__xludf.DUMMYFUNCTION("""COMPUTED_VALUE"""),"")</f>
        <v/>
      </c>
      <c r="H123" s="133" t="str">
        <f>IFERROR(__xludf.DUMMYFUNCTION("""COMPUTED_VALUE"""),"")</f>
        <v/>
      </c>
      <c r="I123" s="133" t="str">
        <f>IFERROR(__xludf.DUMMYFUNCTION("""COMPUTED_VALUE"""),"")</f>
        <v/>
      </c>
      <c r="J123" s="134" t="str">
        <f>IFERROR(__xludf.DUMMYFUNCTION("""COMPUTED_VALUE"""),"")</f>
        <v/>
      </c>
      <c r="K123" s="135">
        <f>IFERROR(__xludf.DUMMYFUNCTION("""COMPUTED_VALUE"""),0.0)</f>
        <v>0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>
      <c r="A124" s="13"/>
      <c r="B124" s="131" t="str">
        <f>IFERROR(__xludf.DUMMYFUNCTION("""COMPUTED_VALUE"""),"")</f>
        <v/>
      </c>
      <c r="C124" s="131"/>
      <c r="D124" s="131" t="str">
        <f>IFERROR(__xludf.DUMMYFUNCTION("""COMPUTED_VALUE"""),"")</f>
        <v/>
      </c>
      <c r="E124" s="131" t="str">
        <f>IFERROR(__xludf.DUMMYFUNCTION("""COMPUTED_VALUE"""),"")</f>
        <v/>
      </c>
      <c r="F124" s="131" t="str">
        <f>IFERROR(__xludf.DUMMYFUNCTION("""COMPUTED_VALUE"""),"")</f>
        <v/>
      </c>
      <c r="G124" s="133" t="str">
        <f>IFERROR(__xludf.DUMMYFUNCTION("""COMPUTED_VALUE"""),"")</f>
        <v/>
      </c>
      <c r="H124" s="133" t="str">
        <f>IFERROR(__xludf.DUMMYFUNCTION("""COMPUTED_VALUE"""),"")</f>
        <v/>
      </c>
      <c r="I124" s="133" t="str">
        <f>IFERROR(__xludf.DUMMYFUNCTION("""COMPUTED_VALUE"""),"")</f>
        <v/>
      </c>
      <c r="J124" s="134" t="str">
        <f>IFERROR(__xludf.DUMMYFUNCTION("""COMPUTED_VALUE"""),"")</f>
        <v/>
      </c>
      <c r="K124" s="135">
        <f>IFERROR(__xludf.DUMMYFUNCTION("""COMPUTED_VALUE"""),0.0)</f>
        <v>0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>
      <c r="A125" s="13"/>
      <c r="B125" s="131" t="str">
        <f>IFERROR(__xludf.DUMMYFUNCTION("""COMPUTED_VALUE"""),"")</f>
        <v/>
      </c>
      <c r="C125" s="131"/>
      <c r="D125" s="131" t="str">
        <f>IFERROR(__xludf.DUMMYFUNCTION("""COMPUTED_VALUE"""),"")</f>
        <v/>
      </c>
      <c r="E125" s="131" t="str">
        <f>IFERROR(__xludf.DUMMYFUNCTION("""COMPUTED_VALUE"""),"")</f>
        <v/>
      </c>
      <c r="F125" s="131" t="str">
        <f>IFERROR(__xludf.DUMMYFUNCTION("""COMPUTED_VALUE"""),"")</f>
        <v/>
      </c>
      <c r="G125" s="133" t="str">
        <f>IFERROR(__xludf.DUMMYFUNCTION("""COMPUTED_VALUE"""),"")</f>
        <v/>
      </c>
      <c r="H125" s="133" t="str">
        <f>IFERROR(__xludf.DUMMYFUNCTION("""COMPUTED_VALUE"""),"")</f>
        <v/>
      </c>
      <c r="I125" s="133" t="str">
        <f>IFERROR(__xludf.DUMMYFUNCTION("""COMPUTED_VALUE"""),"")</f>
        <v/>
      </c>
      <c r="J125" s="134" t="str">
        <f>IFERROR(__xludf.DUMMYFUNCTION("""COMPUTED_VALUE"""),"")</f>
        <v/>
      </c>
      <c r="K125" s="135">
        <f>IFERROR(__xludf.DUMMYFUNCTION("""COMPUTED_VALUE"""),0.0)</f>
        <v>0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>
      <c r="A126" s="13"/>
      <c r="B126" s="131" t="str">
        <f>IFERROR(__xludf.DUMMYFUNCTION("""COMPUTED_VALUE"""),"")</f>
        <v/>
      </c>
      <c r="C126" s="131"/>
      <c r="D126" s="131" t="str">
        <f>IFERROR(__xludf.DUMMYFUNCTION("""COMPUTED_VALUE"""),"")</f>
        <v/>
      </c>
      <c r="E126" s="131" t="str">
        <f>IFERROR(__xludf.DUMMYFUNCTION("""COMPUTED_VALUE"""),"")</f>
        <v/>
      </c>
      <c r="F126" s="131" t="str">
        <f>IFERROR(__xludf.DUMMYFUNCTION("""COMPUTED_VALUE"""),"")</f>
        <v/>
      </c>
      <c r="G126" s="133" t="str">
        <f>IFERROR(__xludf.DUMMYFUNCTION("""COMPUTED_VALUE"""),"")</f>
        <v/>
      </c>
      <c r="H126" s="133" t="str">
        <f>IFERROR(__xludf.DUMMYFUNCTION("""COMPUTED_VALUE"""),"")</f>
        <v/>
      </c>
      <c r="I126" s="133" t="str">
        <f>IFERROR(__xludf.DUMMYFUNCTION("""COMPUTED_VALUE"""),"")</f>
        <v/>
      </c>
      <c r="J126" s="134" t="str">
        <f>IFERROR(__xludf.DUMMYFUNCTION("""COMPUTED_VALUE"""),"")</f>
        <v/>
      </c>
      <c r="K126" s="135">
        <f>IFERROR(__xludf.DUMMYFUNCTION("""COMPUTED_VALUE"""),0.0)</f>
        <v>0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>
      <c r="A127" s="13"/>
      <c r="B127" s="131" t="str">
        <f>IFERROR(__xludf.DUMMYFUNCTION("""COMPUTED_VALUE"""),"")</f>
        <v/>
      </c>
      <c r="C127" s="131"/>
      <c r="D127" s="131" t="str">
        <f>IFERROR(__xludf.DUMMYFUNCTION("""COMPUTED_VALUE"""),"")</f>
        <v/>
      </c>
      <c r="E127" s="131" t="str">
        <f>IFERROR(__xludf.DUMMYFUNCTION("""COMPUTED_VALUE"""),"")</f>
        <v/>
      </c>
      <c r="F127" s="131" t="str">
        <f>IFERROR(__xludf.DUMMYFUNCTION("""COMPUTED_VALUE"""),"")</f>
        <v/>
      </c>
      <c r="G127" s="133" t="str">
        <f>IFERROR(__xludf.DUMMYFUNCTION("""COMPUTED_VALUE"""),"")</f>
        <v/>
      </c>
      <c r="H127" s="133" t="str">
        <f>IFERROR(__xludf.DUMMYFUNCTION("""COMPUTED_VALUE"""),"")</f>
        <v/>
      </c>
      <c r="I127" s="133" t="str">
        <f>IFERROR(__xludf.DUMMYFUNCTION("""COMPUTED_VALUE"""),"")</f>
        <v/>
      </c>
      <c r="J127" s="134" t="str">
        <f>IFERROR(__xludf.DUMMYFUNCTION("""COMPUTED_VALUE"""),"")</f>
        <v/>
      </c>
      <c r="K127" s="135">
        <f>IFERROR(__xludf.DUMMYFUNCTION("""COMPUTED_VALUE"""),0.0)</f>
        <v>0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>
      <c r="A128" s="13"/>
      <c r="B128" s="27" t="str">
        <f>IFERROR(__xludf.DUMMYFUNCTION("""COMPUTED_VALUE"""),"")</f>
        <v/>
      </c>
      <c r="C128" s="27"/>
      <c r="D128" s="27" t="str">
        <f>IFERROR(__xludf.DUMMYFUNCTION("""COMPUTED_VALUE"""),"")</f>
        <v/>
      </c>
      <c r="E128" s="131" t="str">
        <f>IFERROR(__xludf.DUMMYFUNCTION("""COMPUTED_VALUE"""),"")</f>
        <v/>
      </c>
      <c r="F128" s="131" t="str">
        <f>IFERROR(__xludf.DUMMYFUNCTION("""COMPUTED_VALUE"""),"")</f>
        <v/>
      </c>
      <c r="G128" s="133" t="str">
        <f>IFERROR(__xludf.DUMMYFUNCTION("""COMPUTED_VALUE"""),"")</f>
        <v/>
      </c>
      <c r="H128" s="133" t="str">
        <f>IFERROR(__xludf.DUMMYFUNCTION("""COMPUTED_VALUE"""),"")</f>
        <v/>
      </c>
      <c r="I128" s="133" t="str">
        <f>IFERROR(__xludf.DUMMYFUNCTION("""COMPUTED_VALUE"""),"")</f>
        <v/>
      </c>
      <c r="J128" s="134" t="str">
        <f>IFERROR(__xludf.DUMMYFUNCTION("""COMPUTED_VALUE"""),"")</f>
        <v/>
      </c>
      <c r="K128" s="135">
        <f>IFERROR(__xludf.DUMMYFUNCTION("""COMPUTED_VALUE"""),0.0)</f>
        <v>0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>
      <c r="A129" s="13"/>
      <c r="B129" s="27" t="str">
        <f>IFERROR(__xludf.DUMMYFUNCTION("""COMPUTED_VALUE"""),"")</f>
        <v/>
      </c>
      <c r="C129" s="27"/>
      <c r="D129" s="27" t="str">
        <f>IFERROR(__xludf.DUMMYFUNCTION("""COMPUTED_VALUE"""),"")</f>
        <v/>
      </c>
      <c r="E129" s="131" t="str">
        <f>IFERROR(__xludf.DUMMYFUNCTION("""COMPUTED_VALUE"""),"")</f>
        <v/>
      </c>
      <c r="F129" s="131" t="str">
        <f>IFERROR(__xludf.DUMMYFUNCTION("""COMPUTED_VALUE"""),"")</f>
        <v/>
      </c>
      <c r="G129" s="133" t="str">
        <f>IFERROR(__xludf.DUMMYFUNCTION("""COMPUTED_VALUE"""),"")</f>
        <v/>
      </c>
      <c r="H129" s="133" t="str">
        <f>IFERROR(__xludf.DUMMYFUNCTION("""COMPUTED_VALUE"""),"")</f>
        <v/>
      </c>
      <c r="I129" s="133" t="str">
        <f>IFERROR(__xludf.DUMMYFUNCTION("""COMPUTED_VALUE"""),"")</f>
        <v/>
      </c>
      <c r="J129" s="134" t="str">
        <f>IFERROR(__xludf.DUMMYFUNCTION("""COMPUTED_VALUE"""),"")</f>
        <v/>
      </c>
      <c r="K129" s="135">
        <f>IFERROR(__xludf.DUMMYFUNCTION("""COMPUTED_VALUE"""),0.0)</f>
        <v>0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>
      <c r="A130" s="13"/>
      <c r="B130" s="27" t="str">
        <f>IFERROR(__xludf.DUMMYFUNCTION("""COMPUTED_VALUE"""),"")</f>
        <v/>
      </c>
      <c r="C130" s="27"/>
      <c r="D130" s="27" t="str">
        <f>IFERROR(__xludf.DUMMYFUNCTION("""COMPUTED_VALUE"""),"")</f>
        <v/>
      </c>
      <c r="E130" s="131" t="str">
        <f>IFERROR(__xludf.DUMMYFUNCTION("""COMPUTED_VALUE"""),"")</f>
        <v/>
      </c>
      <c r="F130" s="131" t="str">
        <f>IFERROR(__xludf.DUMMYFUNCTION("""COMPUTED_VALUE"""),"")</f>
        <v/>
      </c>
      <c r="G130" s="133" t="str">
        <f>IFERROR(__xludf.DUMMYFUNCTION("""COMPUTED_VALUE"""),"")</f>
        <v/>
      </c>
      <c r="H130" s="133" t="str">
        <f>IFERROR(__xludf.DUMMYFUNCTION("""COMPUTED_VALUE"""),"")</f>
        <v/>
      </c>
      <c r="I130" s="133" t="str">
        <f>IFERROR(__xludf.DUMMYFUNCTION("""COMPUTED_VALUE"""),"")</f>
        <v/>
      </c>
      <c r="J130" s="134" t="str">
        <f>IFERROR(__xludf.DUMMYFUNCTION("""COMPUTED_VALUE"""),"")</f>
        <v/>
      </c>
      <c r="K130" s="135">
        <f>IFERROR(__xludf.DUMMYFUNCTION("""COMPUTED_VALUE"""),0.0)</f>
        <v>0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>
      <c r="A131" s="13"/>
      <c r="B131" s="27" t="str">
        <f>IFERROR(__xludf.DUMMYFUNCTION("""COMPUTED_VALUE"""),"")</f>
        <v/>
      </c>
      <c r="C131" s="27"/>
      <c r="D131" s="27" t="str">
        <f>IFERROR(__xludf.DUMMYFUNCTION("""COMPUTED_VALUE"""),"")</f>
        <v/>
      </c>
      <c r="E131" s="131" t="str">
        <f>IFERROR(__xludf.DUMMYFUNCTION("""COMPUTED_VALUE"""),"")</f>
        <v/>
      </c>
      <c r="F131" s="131" t="str">
        <f>IFERROR(__xludf.DUMMYFUNCTION("""COMPUTED_VALUE"""),"")</f>
        <v/>
      </c>
      <c r="G131" s="133" t="str">
        <f>IFERROR(__xludf.DUMMYFUNCTION("""COMPUTED_VALUE"""),"")</f>
        <v/>
      </c>
      <c r="H131" s="133" t="str">
        <f>IFERROR(__xludf.DUMMYFUNCTION("""COMPUTED_VALUE"""),"")</f>
        <v/>
      </c>
      <c r="I131" s="133" t="str">
        <f>IFERROR(__xludf.DUMMYFUNCTION("""COMPUTED_VALUE"""),"")</f>
        <v/>
      </c>
      <c r="J131" s="134" t="str">
        <f>IFERROR(__xludf.DUMMYFUNCTION("""COMPUTED_VALUE"""),"")</f>
        <v/>
      </c>
      <c r="K131" s="135">
        <f>IFERROR(__xludf.DUMMYFUNCTION("""COMPUTED_VALUE"""),0.0)</f>
        <v>0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>
      <c r="A132" s="13"/>
      <c r="B132" s="27" t="str">
        <f>IFERROR(__xludf.DUMMYFUNCTION("""COMPUTED_VALUE"""),"")</f>
        <v/>
      </c>
      <c r="C132" s="27"/>
      <c r="D132" s="27" t="str">
        <f>IFERROR(__xludf.DUMMYFUNCTION("""COMPUTED_VALUE"""),"")</f>
        <v/>
      </c>
      <c r="E132" s="131" t="str">
        <f>IFERROR(__xludf.DUMMYFUNCTION("""COMPUTED_VALUE"""),"")</f>
        <v/>
      </c>
      <c r="F132" s="131" t="str">
        <f>IFERROR(__xludf.DUMMYFUNCTION("""COMPUTED_VALUE"""),"")</f>
        <v/>
      </c>
      <c r="G132" s="133" t="str">
        <f>IFERROR(__xludf.DUMMYFUNCTION("""COMPUTED_VALUE"""),"")</f>
        <v/>
      </c>
      <c r="H132" s="133" t="str">
        <f>IFERROR(__xludf.DUMMYFUNCTION("""COMPUTED_VALUE"""),"")</f>
        <v/>
      </c>
      <c r="I132" s="133" t="str">
        <f>IFERROR(__xludf.DUMMYFUNCTION("""COMPUTED_VALUE"""),"")</f>
        <v/>
      </c>
      <c r="J132" s="134" t="str">
        <f>IFERROR(__xludf.DUMMYFUNCTION("""COMPUTED_VALUE"""),"")</f>
        <v/>
      </c>
      <c r="K132" s="135">
        <f>IFERROR(__xludf.DUMMYFUNCTION("""COMPUTED_VALUE"""),0.0)</f>
        <v>0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>
      <c r="A133" s="2"/>
      <c r="B133" s="27"/>
      <c r="C133" s="27"/>
      <c r="D133" s="27" t="str">
        <f>IFERROR(__xludf.DUMMYFUNCTION("""COMPUTED_VALUE"""),"")</f>
        <v/>
      </c>
      <c r="E133" s="131" t="str">
        <f>IFERROR(__xludf.DUMMYFUNCTION("""COMPUTED_VALUE"""),"")</f>
        <v/>
      </c>
      <c r="F133" s="131" t="str">
        <f>IFERROR(__xludf.DUMMYFUNCTION("""COMPUTED_VALUE"""),"")</f>
        <v/>
      </c>
      <c r="G133" s="133" t="str">
        <f>IFERROR(__xludf.DUMMYFUNCTION("""COMPUTED_VALUE"""),"")</f>
        <v/>
      </c>
      <c r="H133" s="133" t="str">
        <f>IFERROR(__xludf.DUMMYFUNCTION("""COMPUTED_VALUE"""),"")</f>
        <v/>
      </c>
      <c r="I133" s="133" t="str">
        <f>IFERROR(__xludf.DUMMYFUNCTION("""COMPUTED_VALUE"""),"")</f>
        <v/>
      </c>
      <c r="J133" s="134" t="str">
        <f>IFERROR(__xludf.DUMMYFUNCTION("""COMPUTED_VALUE"""),"")</f>
        <v/>
      </c>
      <c r="K133" s="135">
        <f>IFERROR(__xludf.DUMMYFUNCTION("""COMPUTED_VALUE"""),0.0)</f>
        <v>0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>
      <c r="A134" s="2"/>
      <c r="B134" s="27"/>
      <c r="C134" s="27"/>
      <c r="D134" s="27" t="str">
        <f>IFERROR(__xludf.DUMMYFUNCTION("""COMPUTED_VALUE"""),"")</f>
        <v/>
      </c>
      <c r="E134" s="131" t="str">
        <f>IFERROR(__xludf.DUMMYFUNCTION("""COMPUTED_VALUE"""),"")</f>
        <v/>
      </c>
      <c r="F134" s="131" t="str">
        <f>IFERROR(__xludf.DUMMYFUNCTION("""COMPUTED_VALUE"""),"")</f>
        <v/>
      </c>
      <c r="G134" s="133" t="str">
        <f>IFERROR(__xludf.DUMMYFUNCTION("""COMPUTED_VALUE"""),"")</f>
        <v/>
      </c>
      <c r="H134" s="133" t="str">
        <f>IFERROR(__xludf.DUMMYFUNCTION("""COMPUTED_VALUE"""),"")</f>
        <v/>
      </c>
      <c r="I134" s="133" t="str">
        <f>IFERROR(__xludf.DUMMYFUNCTION("""COMPUTED_VALUE"""),"")</f>
        <v/>
      </c>
      <c r="J134" s="134" t="str">
        <f>IFERROR(__xludf.DUMMYFUNCTION("""COMPUTED_VALUE"""),"")</f>
        <v/>
      </c>
      <c r="K134" s="135">
        <f>IFERROR(__xludf.DUMMYFUNCTION("""COMPUTED_VALUE"""),0.0)</f>
        <v>0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>
      <c r="A135" s="2"/>
      <c r="B135" s="27"/>
      <c r="C135" s="27"/>
      <c r="D135" s="27" t="str">
        <f>IFERROR(__xludf.DUMMYFUNCTION("""COMPUTED_VALUE"""),"")</f>
        <v/>
      </c>
      <c r="E135" s="131" t="str">
        <f>IFERROR(__xludf.DUMMYFUNCTION("""COMPUTED_VALUE"""),"")</f>
        <v/>
      </c>
      <c r="F135" s="131" t="str">
        <f>IFERROR(__xludf.DUMMYFUNCTION("""COMPUTED_VALUE"""),"")</f>
        <v/>
      </c>
      <c r="G135" s="133" t="str">
        <f>IFERROR(__xludf.DUMMYFUNCTION("""COMPUTED_VALUE"""),"")</f>
        <v/>
      </c>
      <c r="H135" s="133" t="str">
        <f>IFERROR(__xludf.DUMMYFUNCTION("""COMPUTED_VALUE"""),"")</f>
        <v/>
      </c>
      <c r="I135" s="133" t="str">
        <f>IFERROR(__xludf.DUMMYFUNCTION("""COMPUTED_VALUE"""),"")</f>
        <v/>
      </c>
      <c r="J135" s="134" t="str">
        <f>IFERROR(__xludf.DUMMYFUNCTION("""COMPUTED_VALUE"""),"")</f>
        <v/>
      </c>
      <c r="K135" s="135">
        <f>IFERROR(__xludf.DUMMYFUNCTION("""COMPUTED_VALUE"""),0.0)</f>
        <v>0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>
      <c r="A136" s="2"/>
      <c r="B136" s="27"/>
      <c r="C136" s="27"/>
      <c r="D136" s="27" t="str">
        <f>IFERROR(__xludf.DUMMYFUNCTION("""COMPUTED_VALUE"""),"")</f>
        <v/>
      </c>
      <c r="E136" s="131" t="str">
        <f>IFERROR(__xludf.DUMMYFUNCTION("""COMPUTED_VALUE"""),"")</f>
        <v/>
      </c>
      <c r="F136" s="131" t="str">
        <f>IFERROR(__xludf.DUMMYFUNCTION("""COMPUTED_VALUE"""),"")</f>
        <v/>
      </c>
      <c r="G136" s="133" t="str">
        <f>IFERROR(__xludf.DUMMYFUNCTION("""COMPUTED_VALUE"""),"")</f>
        <v/>
      </c>
      <c r="H136" s="133" t="str">
        <f>IFERROR(__xludf.DUMMYFUNCTION("""COMPUTED_VALUE"""),"")</f>
        <v/>
      </c>
      <c r="I136" s="133" t="str">
        <f>IFERROR(__xludf.DUMMYFUNCTION("""COMPUTED_VALUE"""),"")</f>
        <v/>
      </c>
      <c r="J136" s="134" t="str">
        <f>IFERROR(__xludf.DUMMYFUNCTION("""COMPUTED_VALUE"""),"")</f>
        <v/>
      </c>
      <c r="K136" s="135">
        <f>IFERROR(__xludf.DUMMYFUNCTION("""COMPUTED_VALUE"""),0.0)</f>
        <v>0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>
      <c r="A137" s="2"/>
      <c r="B137" s="27"/>
      <c r="C137" s="27"/>
      <c r="D137" s="27" t="str">
        <f>IFERROR(__xludf.DUMMYFUNCTION("""COMPUTED_VALUE"""),"")</f>
        <v/>
      </c>
      <c r="E137" s="131" t="str">
        <f>IFERROR(__xludf.DUMMYFUNCTION("""COMPUTED_VALUE"""),"")</f>
        <v/>
      </c>
      <c r="F137" s="131" t="str">
        <f>IFERROR(__xludf.DUMMYFUNCTION("""COMPUTED_VALUE"""),"")</f>
        <v/>
      </c>
      <c r="G137" s="133" t="str">
        <f>IFERROR(__xludf.DUMMYFUNCTION("""COMPUTED_VALUE"""),"")</f>
        <v/>
      </c>
      <c r="H137" s="133" t="str">
        <f>IFERROR(__xludf.DUMMYFUNCTION("""COMPUTED_VALUE"""),"")</f>
        <v/>
      </c>
      <c r="I137" s="133" t="str">
        <f>IFERROR(__xludf.DUMMYFUNCTION("""COMPUTED_VALUE"""),"")</f>
        <v/>
      </c>
      <c r="J137" s="134" t="str">
        <f>IFERROR(__xludf.DUMMYFUNCTION("""COMPUTED_VALUE"""),"")</f>
        <v/>
      </c>
      <c r="K137" s="135">
        <f>IFERROR(__xludf.DUMMYFUNCTION("""COMPUTED_VALUE"""),0.0)</f>
        <v>0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>
      <c r="A138" s="2"/>
      <c r="B138" s="27"/>
      <c r="C138" s="27"/>
      <c r="D138" s="27" t="str">
        <f>IFERROR(__xludf.DUMMYFUNCTION("""COMPUTED_VALUE"""),"")</f>
        <v/>
      </c>
      <c r="E138" s="131" t="str">
        <f>IFERROR(__xludf.DUMMYFUNCTION("""COMPUTED_VALUE"""),"")</f>
        <v/>
      </c>
      <c r="F138" s="131" t="str">
        <f>IFERROR(__xludf.DUMMYFUNCTION("""COMPUTED_VALUE"""),"")</f>
        <v/>
      </c>
      <c r="G138" s="133" t="str">
        <f>IFERROR(__xludf.DUMMYFUNCTION("""COMPUTED_VALUE"""),"")</f>
        <v/>
      </c>
      <c r="H138" s="133" t="str">
        <f>IFERROR(__xludf.DUMMYFUNCTION("""COMPUTED_VALUE"""),"")</f>
        <v/>
      </c>
      <c r="I138" s="133" t="str">
        <f>IFERROR(__xludf.DUMMYFUNCTION("""COMPUTED_VALUE"""),"")</f>
        <v/>
      </c>
      <c r="J138" s="134" t="str">
        <f>IFERROR(__xludf.DUMMYFUNCTION("""COMPUTED_VALUE"""),"")</f>
        <v/>
      </c>
      <c r="K138" s="135">
        <f>IFERROR(__xludf.DUMMYFUNCTION("""COMPUTED_VALUE"""),0.0)</f>
        <v>0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>
      <c r="A139" s="2"/>
      <c r="B139" s="27"/>
      <c r="C139" s="27"/>
      <c r="D139" s="27" t="str">
        <f>IFERROR(__xludf.DUMMYFUNCTION("""COMPUTED_VALUE"""),"")</f>
        <v/>
      </c>
      <c r="E139" s="131" t="str">
        <f>IFERROR(__xludf.DUMMYFUNCTION("""COMPUTED_VALUE"""),"")</f>
        <v/>
      </c>
      <c r="F139" s="131" t="str">
        <f>IFERROR(__xludf.DUMMYFUNCTION("""COMPUTED_VALUE"""),"")</f>
        <v/>
      </c>
      <c r="G139" s="133" t="str">
        <f>IFERROR(__xludf.DUMMYFUNCTION("""COMPUTED_VALUE"""),"")</f>
        <v/>
      </c>
      <c r="H139" s="133" t="str">
        <f>IFERROR(__xludf.DUMMYFUNCTION("""COMPUTED_VALUE"""),"")</f>
        <v/>
      </c>
      <c r="I139" s="133" t="str">
        <f>IFERROR(__xludf.DUMMYFUNCTION("""COMPUTED_VALUE"""),"")</f>
        <v/>
      </c>
      <c r="J139" s="134" t="str">
        <f>IFERROR(__xludf.DUMMYFUNCTION("""COMPUTED_VALUE"""),"")</f>
        <v/>
      </c>
      <c r="K139" s="135">
        <f>IFERROR(__xludf.DUMMYFUNCTION("""COMPUTED_VALUE"""),0.0)</f>
        <v>0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>
      <c r="A140" s="2"/>
      <c r="B140" s="27"/>
      <c r="C140" s="27"/>
      <c r="D140" s="27" t="str">
        <f>IFERROR(__xludf.DUMMYFUNCTION("""COMPUTED_VALUE"""),"")</f>
        <v/>
      </c>
      <c r="E140" s="131" t="str">
        <f>IFERROR(__xludf.DUMMYFUNCTION("""COMPUTED_VALUE"""),"")</f>
        <v/>
      </c>
      <c r="F140" s="131" t="str">
        <f>IFERROR(__xludf.DUMMYFUNCTION("""COMPUTED_VALUE"""),"")</f>
        <v/>
      </c>
      <c r="G140" s="133" t="str">
        <f>IFERROR(__xludf.DUMMYFUNCTION("""COMPUTED_VALUE"""),"")</f>
        <v/>
      </c>
      <c r="H140" s="133" t="str">
        <f>IFERROR(__xludf.DUMMYFUNCTION("""COMPUTED_VALUE"""),"")</f>
        <v/>
      </c>
      <c r="I140" s="133" t="str">
        <f>IFERROR(__xludf.DUMMYFUNCTION("""COMPUTED_VALUE"""),"")</f>
        <v/>
      </c>
      <c r="J140" s="134" t="str">
        <f>IFERROR(__xludf.DUMMYFUNCTION("""COMPUTED_VALUE"""),"")</f>
        <v/>
      </c>
      <c r="K140" s="135">
        <f>IFERROR(__xludf.DUMMYFUNCTION("""COMPUTED_VALUE"""),0.0)</f>
        <v>0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>
      <c r="A141" s="2"/>
      <c r="B141" s="27"/>
      <c r="C141" s="27"/>
      <c r="D141" s="27" t="str">
        <f>IFERROR(__xludf.DUMMYFUNCTION("""COMPUTED_VALUE"""),"")</f>
        <v/>
      </c>
      <c r="E141" s="131" t="str">
        <f>IFERROR(__xludf.DUMMYFUNCTION("""COMPUTED_VALUE"""),"")</f>
        <v/>
      </c>
      <c r="F141" s="131" t="str">
        <f>IFERROR(__xludf.DUMMYFUNCTION("""COMPUTED_VALUE"""),"")</f>
        <v/>
      </c>
      <c r="G141" s="133" t="str">
        <f>IFERROR(__xludf.DUMMYFUNCTION("""COMPUTED_VALUE"""),"")</f>
        <v/>
      </c>
      <c r="H141" s="133" t="str">
        <f>IFERROR(__xludf.DUMMYFUNCTION("""COMPUTED_VALUE"""),"")</f>
        <v/>
      </c>
      <c r="I141" s="133" t="str">
        <f>IFERROR(__xludf.DUMMYFUNCTION("""COMPUTED_VALUE"""),"")</f>
        <v/>
      </c>
      <c r="J141" s="134" t="str">
        <f>IFERROR(__xludf.DUMMYFUNCTION("""COMPUTED_VALUE"""),"")</f>
        <v/>
      </c>
      <c r="K141" s="135">
        <f>IFERROR(__xludf.DUMMYFUNCTION("""COMPUTED_VALUE"""),0.0)</f>
        <v>0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>
      <c r="A142" s="2"/>
      <c r="B142" s="27"/>
      <c r="C142" s="27"/>
      <c r="D142" s="27"/>
      <c r="E142" s="131" t="str">
        <f>IFERROR(__xludf.DUMMYFUNCTION("""COMPUTED_VALUE"""),"")</f>
        <v/>
      </c>
      <c r="F142" s="131"/>
      <c r="G142" s="133" t="str">
        <f>IFERROR(__xludf.DUMMYFUNCTION("""COMPUTED_VALUE"""),"")</f>
        <v/>
      </c>
      <c r="H142" s="133" t="str">
        <f>IFERROR(__xludf.DUMMYFUNCTION("""COMPUTED_VALUE"""),"")</f>
        <v/>
      </c>
      <c r="I142" s="133" t="str">
        <f>IFERROR(__xludf.DUMMYFUNCTION("""COMPUTED_VALUE"""),"")</f>
        <v/>
      </c>
      <c r="J142" s="134" t="str">
        <f>IFERROR(__xludf.DUMMYFUNCTION("""COMPUTED_VALUE"""),"")</f>
        <v/>
      </c>
      <c r="K142" s="135">
        <f>IFERROR(__xludf.DUMMYFUNCTION("""COMPUTED_VALUE"""),0.0)</f>
        <v>0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>
      <c r="A143" s="2"/>
      <c r="B143" s="27"/>
      <c r="C143" s="27"/>
      <c r="D143" s="27"/>
      <c r="E143" s="131" t="str">
        <f>IFERROR(__xludf.DUMMYFUNCTION("""COMPUTED_VALUE"""),"")</f>
        <v/>
      </c>
      <c r="F143" s="131"/>
      <c r="G143" s="133" t="str">
        <f>IFERROR(__xludf.DUMMYFUNCTION("""COMPUTED_VALUE"""),"")</f>
        <v/>
      </c>
      <c r="H143" s="133" t="str">
        <f>IFERROR(__xludf.DUMMYFUNCTION("""COMPUTED_VALUE"""),"")</f>
        <v/>
      </c>
      <c r="I143" s="133" t="str">
        <f>IFERROR(__xludf.DUMMYFUNCTION("""COMPUTED_VALUE"""),"")</f>
        <v/>
      </c>
      <c r="J143" s="134" t="str">
        <f>IFERROR(__xludf.DUMMYFUNCTION("""COMPUTED_VALUE"""),"")</f>
        <v/>
      </c>
      <c r="K143" s="135">
        <f>IFERROR(__xludf.DUMMYFUNCTION("""COMPUTED_VALUE"""),0.0)</f>
        <v>0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>
      <c r="A144" s="2"/>
      <c r="B144" s="27"/>
      <c r="C144" s="27"/>
      <c r="D144" s="27"/>
      <c r="E144" s="131" t="str">
        <f>IFERROR(__xludf.DUMMYFUNCTION("""COMPUTED_VALUE"""),"")</f>
        <v/>
      </c>
      <c r="F144" s="131"/>
      <c r="G144" s="133" t="str">
        <f>IFERROR(__xludf.DUMMYFUNCTION("""COMPUTED_VALUE"""),"")</f>
        <v/>
      </c>
      <c r="H144" s="133" t="str">
        <f>IFERROR(__xludf.DUMMYFUNCTION("""COMPUTED_VALUE"""),"")</f>
        <v/>
      </c>
      <c r="I144" s="133" t="str">
        <f>IFERROR(__xludf.DUMMYFUNCTION("""COMPUTED_VALUE"""),"")</f>
        <v/>
      </c>
      <c r="J144" s="134" t="str">
        <f>IFERROR(__xludf.DUMMYFUNCTION("""COMPUTED_VALUE"""),"")</f>
        <v/>
      </c>
      <c r="K144" s="135">
        <f>IFERROR(__xludf.DUMMYFUNCTION("""COMPUTED_VALUE"""),0.0)</f>
        <v>0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>
      <c r="A145" s="2"/>
      <c r="B145" s="27"/>
      <c r="C145" s="27"/>
      <c r="D145" s="27"/>
      <c r="E145" s="131" t="str">
        <f>IFERROR(__xludf.DUMMYFUNCTION("""COMPUTED_VALUE"""),"")</f>
        <v/>
      </c>
      <c r="F145" s="131"/>
      <c r="G145" s="133" t="str">
        <f>IFERROR(__xludf.DUMMYFUNCTION("""COMPUTED_VALUE"""),"")</f>
        <v/>
      </c>
      <c r="H145" s="133" t="str">
        <f>IFERROR(__xludf.DUMMYFUNCTION("""COMPUTED_VALUE"""),"")</f>
        <v/>
      </c>
      <c r="I145" s="133" t="str">
        <f>IFERROR(__xludf.DUMMYFUNCTION("""COMPUTED_VALUE"""),"")</f>
        <v/>
      </c>
      <c r="J145" s="134" t="str">
        <f>IFERROR(__xludf.DUMMYFUNCTION("""COMPUTED_VALUE"""),"")</f>
        <v/>
      </c>
      <c r="K145" s="135">
        <f>IFERROR(__xludf.DUMMYFUNCTION("""COMPUTED_VALUE"""),0.0)</f>
        <v>0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>
      <c r="A146" s="2"/>
      <c r="B146" s="27"/>
      <c r="C146" s="27"/>
      <c r="D146" s="27"/>
      <c r="E146" s="131"/>
      <c r="F146" s="131"/>
      <c r="G146" s="133" t="str">
        <f>IFERROR(__xludf.DUMMYFUNCTION("""COMPUTED_VALUE"""),"")</f>
        <v/>
      </c>
      <c r="H146" s="133" t="str">
        <f>IFERROR(__xludf.DUMMYFUNCTION("""COMPUTED_VALUE"""),"")</f>
        <v/>
      </c>
      <c r="I146" s="133" t="str">
        <f>IFERROR(__xludf.DUMMYFUNCTION("""COMPUTED_VALUE"""),"")</f>
        <v/>
      </c>
      <c r="J146" s="134" t="str">
        <f>IFERROR(__xludf.DUMMYFUNCTION("""COMPUTED_VALUE"""),"")</f>
        <v/>
      </c>
      <c r="K146" s="135">
        <f>IFERROR(__xludf.DUMMYFUNCTION("""COMPUTED_VALUE"""),0.0)</f>
        <v>0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>
      <c r="A147" s="2"/>
      <c r="B147" s="27"/>
      <c r="C147" s="27"/>
      <c r="D147" s="27"/>
      <c r="E147" s="131"/>
      <c r="F147" s="131"/>
      <c r="G147" s="133" t="str">
        <f>IFERROR(__xludf.DUMMYFUNCTION("""COMPUTED_VALUE"""),"")</f>
        <v/>
      </c>
      <c r="H147" s="133" t="str">
        <f>IFERROR(__xludf.DUMMYFUNCTION("""COMPUTED_VALUE"""),"")</f>
        <v/>
      </c>
      <c r="I147" s="133" t="str">
        <f>IFERROR(__xludf.DUMMYFUNCTION("""COMPUTED_VALUE"""),"")</f>
        <v/>
      </c>
      <c r="J147" s="134" t="str">
        <f>IFERROR(__xludf.DUMMYFUNCTION("""COMPUTED_VALUE"""),"")</f>
        <v/>
      </c>
      <c r="K147" s="135">
        <f>IFERROR(__xludf.DUMMYFUNCTION("""COMPUTED_VALUE"""),0.0)</f>
        <v>0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>
      <c r="A148" s="2"/>
      <c r="B148" s="27"/>
      <c r="C148" s="27"/>
      <c r="D148" s="27"/>
      <c r="E148" s="131"/>
      <c r="F148" s="131"/>
      <c r="G148" s="133" t="str">
        <f>IFERROR(__xludf.DUMMYFUNCTION("""COMPUTED_VALUE"""),"")</f>
        <v/>
      </c>
      <c r="H148" s="133" t="str">
        <f>IFERROR(__xludf.DUMMYFUNCTION("""COMPUTED_VALUE"""),"")</f>
        <v/>
      </c>
      <c r="I148" s="133" t="str">
        <f>IFERROR(__xludf.DUMMYFUNCTION("""COMPUTED_VALUE"""),"")</f>
        <v/>
      </c>
      <c r="J148" s="134" t="str">
        <f>IFERROR(__xludf.DUMMYFUNCTION("""COMPUTED_VALUE"""),"")</f>
        <v/>
      </c>
      <c r="K148" s="135">
        <f>IFERROR(__xludf.DUMMYFUNCTION("""COMPUTED_VALUE"""),0.0)</f>
        <v>0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>
      <c r="A149" s="2"/>
      <c r="B149" s="27"/>
      <c r="C149" s="27"/>
      <c r="D149" s="27"/>
      <c r="E149" s="131"/>
      <c r="F149" s="131"/>
      <c r="G149" s="133" t="str">
        <f>IFERROR(__xludf.DUMMYFUNCTION("""COMPUTED_VALUE"""),"")</f>
        <v/>
      </c>
      <c r="H149" s="133" t="str">
        <f>IFERROR(__xludf.DUMMYFUNCTION("""COMPUTED_VALUE"""),"")</f>
        <v/>
      </c>
      <c r="I149" s="133" t="str">
        <f>IFERROR(__xludf.DUMMYFUNCTION("""COMPUTED_VALUE"""),"")</f>
        <v/>
      </c>
      <c r="J149" s="134" t="str">
        <f>IFERROR(__xludf.DUMMYFUNCTION("""COMPUTED_VALUE"""),"")</f>
        <v/>
      </c>
      <c r="K149" s="135">
        <f>IFERROR(__xludf.DUMMYFUNCTION("""COMPUTED_VALUE"""),0.0)</f>
        <v>0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>
      <c r="A150" s="2"/>
      <c r="B150" s="27"/>
      <c r="C150" s="27"/>
      <c r="D150" s="27"/>
      <c r="E150" s="131"/>
      <c r="F150" s="131"/>
      <c r="G150" s="133" t="str">
        <f>IFERROR(__xludf.DUMMYFUNCTION("""COMPUTED_VALUE"""),"")</f>
        <v/>
      </c>
      <c r="H150" s="133" t="str">
        <f>IFERROR(__xludf.DUMMYFUNCTION("""COMPUTED_VALUE"""),"")</f>
        <v/>
      </c>
      <c r="I150" s="133" t="str">
        <f>IFERROR(__xludf.DUMMYFUNCTION("""COMPUTED_VALUE"""),"")</f>
        <v/>
      </c>
      <c r="J150" s="134" t="str">
        <f>IFERROR(__xludf.DUMMYFUNCTION("""COMPUTED_VALUE"""),"")</f>
        <v/>
      </c>
      <c r="K150" s="135">
        <f>IFERROR(__xludf.DUMMYFUNCTION("""COMPUTED_VALUE"""),0.0)</f>
        <v>0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>
      <c r="A151" s="2"/>
      <c r="B151" s="27"/>
      <c r="C151" s="27"/>
      <c r="D151" s="27"/>
      <c r="E151" s="131"/>
      <c r="F151" s="131"/>
      <c r="G151" s="133" t="str">
        <f>IFERROR(__xludf.DUMMYFUNCTION("""COMPUTED_VALUE"""),"")</f>
        <v/>
      </c>
      <c r="H151" s="133" t="str">
        <f>IFERROR(__xludf.DUMMYFUNCTION("""COMPUTED_VALUE"""),"")</f>
        <v/>
      </c>
      <c r="I151" s="133" t="str">
        <f>IFERROR(__xludf.DUMMYFUNCTION("""COMPUTED_VALUE"""),"")</f>
        <v/>
      </c>
      <c r="J151" s="134" t="str">
        <f>IFERROR(__xludf.DUMMYFUNCTION("""COMPUTED_VALUE"""),"")</f>
        <v/>
      </c>
      <c r="K151" s="135">
        <f>IFERROR(__xludf.DUMMYFUNCTION("""COMPUTED_VALUE"""),0.0)</f>
        <v>0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>
      <c r="A152" s="2"/>
      <c r="B152" s="27"/>
      <c r="C152" s="27"/>
      <c r="D152" s="27"/>
      <c r="E152" s="131"/>
      <c r="F152" s="131"/>
      <c r="G152" s="133" t="str">
        <f>IFERROR(__xludf.DUMMYFUNCTION("""COMPUTED_VALUE"""),"")</f>
        <v/>
      </c>
      <c r="H152" s="133" t="str">
        <f>IFERROR(__xludf.DUMMYFUNCTION("""COMPUTED_VALUE"""),"")</f>
        <v/>
      </c>
      <c r="I152" s="133" t="str">
        <f>IFERROR(__xludf.DUMMYFUNCTION("""COMPUTED_VALUE"""),"")</f>
        <v/>
      </c>
      <c r="J152" s="134" t="str">
        <f>IFERROR(__xludf.DUMMYFUNCTION("""COMPUTED_VALUE"""),"")</f>
        <v/>
      </c>
      <c r="K152" s="135">
        <f>IFERROR(__xludf.DUMMYFUNCTION("""COMPUTED_VALUE"""),0.0)</f>
        <v>0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>
      <c r="A153" s="2"/>
      <c r="B153" s="27"/>
      <c r="C153" s="27"/>
      <c r="D153" s="27"/>
      <c r="E153" s="131"/>
      <c r="F153" s="131"/>
      <c r="G153" s="133" t="str">
        <f>IFERROR(__xludf.DUMMYFUNCTION("""COMPUTED_VALUE"""),"")</f>
        <v/>
      </c>
      <c r="H153" s="133" t="str">
        <f>IFERROR(__xludf.DUMMYFUNCTION("""COMPUTED_VALUE"""),"")</f>
        <v/>
      </c>
      <c r="I153" s="133" t="str">
        <f>IFERROR(__xludf.DUMMYFUNCTION("""COMPUTED_VALUE"""),"")</f>
        <v/>
      </c>
      <c r="J153" s="134" t="str">
        <f>IFERROR(__xludf.DUMMYFUNCTION("""COMPUTED_VALUE"""),"")</f>
        <v/>
      </c>
      <c r="K153" s="135">
        <f>IFERROR(__xludf.DUMMYFUNCTION("""COMPUTED_VALUE"""),0.0)</f>
        <v>0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>
      <c r="A154" s="2"/>
      <c r="B154" s="27"/>
      <c r="C154" s="27"/>
      <c r="D154" s="27"/>
      <c r="E154" s="131"/>
      <c r="F154" s="131"/>
      <c r="G154" s="133" t="str">
        <f>IFERROR(__xludf.DUMMYFUNCTION("""COMPUTED_VALUE"""),"")</f>
        <v/>
      </c>
      <c r="H154" s="133" t="str">
        <f>IFERROR(__xludf.DUMMYFUNCTION("""COMPUTED_VALUE"""),"")</f>
        <v/>
      </c>
      <c r="I154" s="133" t="str">
        <f>IFERROR(__xludf.DUMMYFUNCTION("""COMPUTED_VALUE"""),"")</f>
        <v/>
      </c>
      <c r="J154" s="134" t="str">
        <f>IFERROR(__xludf.DUMMYFUNCTION("""COMPUTED_VALUE"""),"")</f>
        <v/>
      </c>
      <c r="K154" s="135">
        <f>IFERROR(__xludf.DUMMYFUNCTION("""COMPUTED_VALUE"""),0.0)</f>
        <v>0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>
      <c r="A155" s="2"/>
      <c r="B155" s="27"/>
      <c r="C155" s="27"/>
      <c r="D155" s="27"/>
      <c r="E155" s="131"/>
      <c r="F155" s="131"/>
      <c r="G155" s="133" t="str">
        <f>IFERROR(__xludf.DUMMYFUNCTION("""COMPUTED_VALUE"""),"")</f>
        <v/>
      </c>
      <c r="H155" s="133" t="str">
        <f>IFERROR(__xludf.DUMMYFUNCTION("""COMPUTED_VALUE"""),"")</f>
        <v/>
      </c>
      <c r="I155" s="133" t="str">
        <f>IFERROR(__xludf.DUMMYFUNCTION("""COMPUTED_VALUE"""),"")</f>
        <v/>
      </c>
      <c r="J155" s="134" t="str">
        <f>IFERROR(__xludf.DUMMYFUNCTION("""COMPUTED_VALUE"""),"")</f>
        <v/>
      </c>
      <c r="K155" s="135">
        <f>IFERROR(__xludf.DUMMYFUNCTION("""COMPUTED_VALUE"""),0.0)</f>
        <v>0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>
      <c r="A156" s="2"/>
      <c r="B156" s="27"/>
      <c r="C156" s="27"/>
      <c r="D156" s="27"/>
      <c r="E156" s="131"/>
      <c r="F156" s="131"/>
      <c r="G156" s="133" t="str">
        <f>IFERROR(__xludf.DUMMYFUNCTION("""COMPUTED_VALUE"""),"")</f>
        <v/>
      </c>
      <c r="H156" s="133" t="str">
        <f>IFERROR(__xludf.DUMMYFUNCTION("""COMPUTED_VALUE"""),"")</f>
        <v/>
      </c>
      <c r="I156" s="133" t="str">
        <f>IFERROR(__xludf.DUMMYFUNCTION("""COMPUTED_VALUE"""),"")</f>
        <v/>
      </c>
      <c r="J156" s="134" t="str">
        <f>IFERROR(__xludf.DUMMYFUNCTION("""COMPUTED_VALUE"""),"")</f>
        <v/>
      </c>
      <c r="K156" s="135">
        <f>IFERROR(__xludf.DUMMYFUNCTION("""COMPUTED_VALUE"""),0.0)</f>
        <v>0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>
      <c r="A157" s="2"/>
      <c r="B157" s="27"/>
      <c r="C157" s="27"/>
      <c r="D157" s="27"/>
      <c r="E157" s="131"/>
      <c r="F157" s="131"/>
      <c r="G157" s="133" t="str">
        <f>IFERROR(__xludf.DUMMYFUNCTION("""COMPUTED_VALUE"""),"")</f>
        <v/>
      </c>
      <c r="H157" s="133" t="str">
        <f>IFERROR(__xludf.DUMMYFUNCTION("""COMPUTED_VALUE"""),"")</f>
        <v/>
      </c>
      <c r="I157" s="133" t="str">
        <f>IFERROR(__xludf.DUMMYFUNCTION("""COMPUTED_VALUE"""),"")</f>
        <v/>
      </c>
      <c r="J157" s="134" t="str">
        <f>IFERROR(__xludf.DUMMYFUNCTION("""COMPUTED_VALUE"""),"")</f>
        <v/>
      </c>
      <c r="K157" s="135">
        <f>IFERROR(__xludf.DUMMYFUNCTION("""COMPUTED_VALUE"""),0.0)</f>
        <v>0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>
      <c r="A158" s="2"/>
      <c r="B158" s="27"/>
      <c r="C158" s="27"/>
      <c r="D158" s="27"/>
      <c r="E158" s="131"/>
      <c r="F158" s="131"/>
      <c r="G158" s="133" t="str">
        <f>IFERROR(__xludf.DUMMYFUNCTION("""COMPUTED_VALUE"""),"")</f>
        <v/>
      </c>
      <c r="H158" s="133" t="str">
        <f>IFERROR(__xludf.DUMMYFUNCTION("""COMPUTED_VALUE"""),"")</f>
        <v/>
      </c>
      <c r="I158" s="133" t="str">
        <f>IFERROR(__xludf.DUMMYFUNCTION("""COMPUTED_VALUE"""),"")</f>
        <v/>
      </c>
      <c r="J158" s="134" t="str">
        <f>IFERROR(__xludf.DUMMYFUNCTION("""COMPUTED_VALUE"""),"")</f>
        <v/>
      </c>
      <c r="K158" s="135">
        <f>IFERROR(__xludf.DUMMYFUNCTION("""COMPUTED_VALUE"""),0.0)</f>
        <v>0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>
      <c r="A159" s="2"/>
      <c r="B159" s="27"/>
      <c r="C159" s="27"/>
      <c r="D159" s="27"/>
      <c r="E159" s="131"/>
      <c r="F159" s="131"/>
      <c r="G159" s="133" t="str">
        <f>IFERROR(__xludf.DUMMYFUNCTION("""COMPUTED_VALUE"""),"")</f>
        <v/>
      </c>
      <c r="H159" s="133" t="str">
        <f>IFERROR(__xludf.DUMMYFUNCTION("""COMPUTED_VALUE"""),"")</f>
        <v/>
      </c>
      <c r="I159" s="133" t="str">
        <f>IFERROR(__xludf.DUMMYFUNCTION("""COMPUTED_VALUE"""),"")</f>
        <v/>
      </c>
      <c r="J159" s="134" t="str">
        <f>IFERROR(__xludf.DUMMYFUNCTION("""COMPUTED_VALUE"""),"")</f>
        <v/>
      </c>
      <c r="K159" s="135">
        <f>IFERROR(__xludf.DUMMYFUNCTION("""COMPUTED_VALUE"""),0.0)</f>
        <v>0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>
      <c r="A160" s="2"/>
      <c r="B160" s="27"/>
      <c r="C160" s="27"/>
      <c r="D160" s="27"/>
      <c r="E160" s="131"/>
      <c r="F160" s="131"/>
      <c r="G160" s="133" t="str">
        <f>IFERROR(__xludf.DUMMYFUNCTION("""COMPUTED_VALUE"""),"")</f>
        <v/>
      </c>
      <c r="H160" s="133" t="str">
        <f>IFERROR(__xludf.DUMMYFUNCTION("""COMPUTED_VALUE"""),"")</f>
        <v/>
      </c>
      <c r="I160" s="133" t="str">
        <f>IFERROR(__xludf.DUMMYFUNCTION("""COMPUTED_VALUE"""),"")</f>
        <v/>
      </c>
      <c r="J160" s="134" t="str">
        <f>IFERROR(__xludf.DUMMYFUNCTION("""COMPUTED_VALUE"""),"")</f>
        <v/>
      </c>
      <c r="K160" s="135">
        <f>IFERROR(__xludf.DUMMYFUNCTION("""COMPUTED_VALUE"""),0.0)</f>
        <v>0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>
      <c r="A161" s="2"/>
      <c r="B161" s="27"/>
      <c r="C161" s="27"/>
      <c r="D161" s="27"/>
      <c r="E161" s="131"/>
      <c r="F161" s="131"/>
      <c r="G161" s="133" t="str">
        <f>IFERROR(__xludf.DUMMYFUNCTION("""COMPUTED_VALUE"""),"")</f>
        <v/>
      </c>
      <c r="H161" s="133" t="str">
        <f>IFERROR(__xludf.DUMMYFUNCTION("""COMPUTED_VALUE"""),"")</f>
        <v/>
      </c>
      <c r="I161" s="133" t="str">
        <f>IFERROR(__xludf.DUMMYFUNCTION("""COMPUTED_VALUE"""),"")</f>
        <v/>
      </c>
      <c r="J161" s="134" t="str">
        <f>IFERROR(__xludf.DUMMYFUNCTION("""COMPUTED_VALUE"""),"")</f>
        <v/>
      </c>
      <c r="K161" s="135">
        <f>IFERROR(__xludf.DUMMYFUNCTION("""COMPUTED_VALUE"""),0.0)</f>
        <v>0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>
      <c r="A162" s="2"/>
      <c r="B162" s="27"/>
      <c r="C162" s="27"/>
      <c r="D162" s="27"/>
      <c r="E162" s="131"/>
      <c r="F162" s="131"/>
      <c r="G162" s="133" t="str">
        <f>IFERROR(__xludf.DUMMYFUNCTION("""COMPUTED_VALUE"""),"")</f>
        <v/>
      </c>
      <c r="H162" s="133" t="str">
        <f>IFERROR(__xludf.DUMMYFUNCTION("""COMPUTED_VALUE"""),"")</f>
        <v/>
      </c>
      <c r="I162" s="133" t="str">
        <f>IFERROR(__xludf.DUMMYFUNCTION("""COMPUTED_VALUE"""),"")</f>
        <v/>
      </c>
      <c r="J162" s="134" t="str">
        <f>IFERROR(__xludf.DUMMYFUNCTION("""COMPUTED_VALUE"""),"")</f>
        <v/>
      </c>
      <c r="K162" s="135">
        <f>IFERROR(__xludf.DUMMYFUNCTION("""COMPUTED_VALUE"""),0.0)</f>
        <v>0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>
      <c r="A163" s="2"/>
      <c r="B163" s="27"/>
      <c r="C163" s="27"/>
      <c r="D163" s="27"/>
      <c r="E163" s="131"/>
      <c r="F163" s="131"/>
      <c r="G163" s="133" t="str">
        <f>IFERROR(__xludf.DUMMYFUNCTION("""COMPUTED_VALUE"""),"")</f>
        <v/>
      </c>
      <c r="H163" s="133" t="str">
        <f>IFERROR(__xludf.DUMMYFUNCTION("""COMPUTED_VALUE"""),"")</f>
        <v/>
      </c>
      <c r="I163" s="133" t="str">
        <f>IFERROR(__xludf.DUMMYFUNCTION("""COMPUTED_VALUE"""),"")</f>
        <v/>
      </c>
      <c r="J163" s="134" t="str">
        <f>IFERROR(__xludf.DUMMYFUNCTION("""COMPUTED_VALUE"""),"")</f>
        <v/>
      </c>
      <c r="K163" s="135">
        <f>IFERROR(__xludf.DUMMYFUNCTION("""COMPUTED_VALUE"""),0.0)</f>
        <v>0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>
      <c r="A164" s="2"/>
      <c r="B164" s="27"/>
      <c r="C164" s="27"/>
      <c r="D164" s="27"/>
      <c r="E164" s="131"/>
      <c r="F164" s="131"/>
      <c r="G164" s="133" t="str">
        <f>IFERROR(__xludf.DUMMYFUNCTION("""COMPUTED_VALUE"""),"")</f>
        <v/>
      </c>
      <c r="H164" s="133" t="str">
        <f>IFERROR(__xludf.DUMMYFUNCTION("""COMPUTED_VALUE"""),"")</f>
        <v/>
      </c>
      <c r="I164" s="133" t="str">
        <f>IFERROR(__xludf.DUMMYFUNCTION("""COMPUTED_VALUE"""),"")</f>
        <v/>
      </c>
      <c r="J164" s="134" t="str">
        <f>IFERROR(__xludf.DUMMYFUNCTION("""COMPUTED_VALUE"""),"")</f>
        <v/>
      </c>
      <c r="K164" s="135">
        <f>IFERROR(__xludf.DUMMYFUNCTION("""COMPUTED_VALUE"""),0.0)</f>
        <v>0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>
      <c r="A165" s="2"/>
      <c r="B165" s="27"/>
      <c r="C165" s="27"/>
      <c r="D165" s="27"/>
      <c r="E165" s="131"/>
      <c r="F165" s="131"/>
      <c r="G165" s="133" t="str">
        <f>IFERROR(__xludf.DUMMYFUNCTION("""COMPUTED_VALUE"""),"")</f>
        <v/>
      </c>
      <c r="H165" s="133" t="str">
        <f>IFERROR(__xludf.DUMMYFUNCTION("""COMPUTED_VALUE"""),"")</f>
        <v/>
      </c>
      <c r="I165" s="133" t="str">
        <f>IFERROR(__xludf.DUMMYFUNCTION("""COMPUTED_VALUE"""),"")</f>
        <v/>
      </c>
      <c r="J165" s="134" t="str">
        <f>IFERROR(__xludf.DUMMYFUNCTION("""COMPUTED_VALUE"""),"")</f>
        <v/>
      </c>
      <c r="K165" s="135">
        <f>IFERROR(__xludf.DUMMYFUNCTION("""COMPUTED_VALUE"""),0.0)</f>
        <v>0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>
      <c r="A166" s="2"/>
      <c r="B166" s="27"/>
      <c r="C166" s="27"/>
      <c r="D166" s="27"/>
      <c r="E166" s="131"/>
      <c r="F166" s="131"/>
      <c r="G166" s="133" t="str">
        <f>IFERROR(__xludf.DUMMYFUNCTION("""COMPUTED_VALUE"""),"")</f>
        <v/>
      </c>
      <c r="H166" s="133" t="str">
        <f>IFERROR(__xludf.DUMMYFUNCTION("""COMPUTED_VALUE"""),"")</f>
        <v/>
      </c>
      <c r="I166" s="133" t="str">
        <f>IFERROR(__xludf.DUMMYFUNCTION("""COMPUTED_VALUE"""),"")</f>
        <v/>
      </c>
      <c r="J166" s="134" t="str">
        <f>IFERROR(__xludf.DUMMYFUNCTION("""COMPUTED_VALUE"""),"")</f>
        <v/>
      </c>
      <c r="K166" s="135">
        <f>IFERROR(__xludf.DUMMYFUNCTION("""COMPUTED_VALUE"""),0.0)</f>
        <v>0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>
      <c r="A167" s="2"/>
      <c r="B167" s="27"/>
      <c r="C167" s="27"/>
      <c r="D167" s="27"/>
      <c r="E167" s="131"/>
      <c r="F167" s="131"/>
      <c r="G167" s="133" t="str">
        <f>IFERROR(__xludf.DUMMYFUNCTION("""COMPUTED_VALUE"""),"")</f>
        <v/>
      </c>
      <c r="H167" s="133" t="str">
        <f>IFERROR(__xludf.DUMMYFUNCTION("""COMPUTED_VALUE"""),"")</f>
        <v/>
      </c>
      <c r="I167" s="133" t="str">
        <f>IFERROR(__xludf.DUMMYFUNCTION("""COMPUTED_VALUE"""),"")</f>
        <v/>
      </c>
      <c r="J167" s="134" t="str">
        <f>IFERROR(__xludf.DUMMYFUNCTION("""COMPUTED_VALUE"""),"")</f>
        <v/>
      </c>
      <c r="K167" s="135">
        <f>IFERROR(__xludf.DUMMYFUNCTION("""COMPUTED_VALUE"""),0.0)</f>
        <v>0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>
      <c r="A168" s="2"/>
      <c r="B168" s="27"/>
      <c r="C168" s="27"/>
      <c r="D168" s="27"/>
      <c r="E168" s="131"/>
      <c r="F168" s="131"/>
      <c r="G168" s="133" t="str">
        <f>IFERROR(__xludf.DUMMYFUNCTION("""COMPUTED_VALUE"""),"")</f>
        <v/>
      </c>
      <c r="H168" s="133" t="str">
        <f>IFERROR(__xludf.DUMMYFUNCTION("""COMPUTED_VALUE"""),"")</f>
        <v/>
      </c>
      <c r="I168" s="133" t="str">
        <f>IFERROR(__xludf.DUMMYFUNCTION("""COMPUTED_VALUE"""),"")</f>
        <v/>
      </c>
      <c r="J168" s="134" t="str">
        <f>IFERROR(__xludf.DUMMYFUNCTION("""COMPUTED_VALUE"""),"")</f>
        <v/>
      </c>
      <c r="K168" s="135">
        <f>IFERROR(__xludf.DUMMYFUNCTION("""COMPUTED_VALUE"""),0.0)</f>
        <v>0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>
      <c r="A169" s="2"/>
      <c r="B169" s="27"/>
      <c r="C169" s="27"/>
      <c r="D169" s="27"/>
      <c r="E169" s="131"/>
      <c r="F169" s="131"/>
      <c r="G169" s="133" t="str">
        <f>IFERROR(__xludf.DUMMYFUNCTION("""COMPUTED_VALUE"""),"")</f>
        <v/>
      </c>
      <c r="H169" s="133" t="str">
        <f>IFERROR(__xludf.DUMMYFUNCTION("""COMPUTED_VALUE"""),"")</f>
        <v/>
      </c>
      <c r="I169" s="133" t="str">
        <f>IFERROR(__xludf.DUMMYFUNCTION("""COMPUTED_VALUE"""),"")</f>
        <v/>
      </c>
      <c r="J169" s="134" t="str">
        <f>IFERROR(__xludf.DUMMYFUNCTION("""COMPUTED_VALUE"""),"")</f>
        <v/>
      </c>
      <c r="K169" s="135">
        <f>IFERROR(__xludf.DUMMYFUNCTION("""COMPUTED_VALUE"""),0.0)</f>
        <v>0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>
      <c r="A170" s="2"/>
      <c r="B170" s="27"/>
      <c r="C170" s="27"/>
      <c r="D170" s="27"/>
      <c r="E170" s="131"/>
      <c r="F170" s="131"/>
      <c r="G170" s="133" t="str">
        <f>IFERROR(__xludf.DUMMYFUNCTION("""COMPUTED_VALUE"""),"")</f>
        <v/>
      </c>
      <c r="H170" s="133" t="str">
        <f>IFERROR(__xludf.DUMMYFUNCTION("""COMPUTED_VALUE"""),"")</f>
        <v/>
      </c>
      <c r="I170" s="133" t="str">
        <f>IFERROR(__xludf.DUMMYFUNCTION("""COMPUTED_VALUE"""),"")</f>
        <v/>
      </c>
      <c r="J170" s="134" t="str">
        <f>IFERROR(__xludf.DUMMYFUNCTION("""COMPUTED_VALUE"""),"")</f>
        <v/>
      </c>
      <c r="K170" s="135">
        <f>IFERROR(__xludf.DUMMYFUNCTION("""COMPUTED_VALUE"""),0.0)</f>
        <v>0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>
      <c r="A171" s="2"/>
      <c r="B171" s="27"/>
      <c r="C171" s="27"/>
      <c r="D171" s="27"/>
      <c r="E171" s="131"/>
      <c r="F171" s="131"/>
      <c r="G171" s="133" t="str">
        <f>IFERROR(__xludf.DUMMYFUNCTION("""COMPUTED_VALUE"""),"")</f>
        <v/>
      </c>
      <c r="H171" s="133" t="str">
        <f>IFERROR(__xludf.DUMMYFUNCTION("""COMPUTED_VALUE"""),"")</f>
        <v/>
      </c>
      <c r="I171" s="133" t="str">
        <f>IFERROR(__xludf.DUMMYFUNCTION("""COMPUTED_VALUE"""),"")</f>
        <v/>
      </c>
      <c r="J171" s="134" t="str">
        <f>IFERROR(__xludf.DUMMYFUNCTION("""COMPUTED_VALUE"""),"")</f>
        <v/>
      </c>
      <c r="K171" s="135">
        <f>IFERROR(__xludf.DUMMYFUNCTION("""COMPUTED_VALUE"""),0.0)</f>
        <v>0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>
      <c r="A172" s="2"/>
      <c r="B172" s="27"/>
      <c r="C172" s="27"/>
      <c r="D172" s="27"/>
      <c r="E172" s="131"/>
      <c r="F172" s="131"/>
      <c r="G172" s="133" t="str">
        <f>IFERROR(__xludf.DUMMYFUNCTION("""COMPUTED_VALUE"""),"")</f>
        <v/>
      </c>
      <c r="H172" s="133" t="str">
        <f>IFERROR(__xludf.DUMMYFUNCTION("""COMPUTED_VALUE"""),"")</f>
        <v/>
      </c>
      <c r="I172" s="133" t="str">
        <f>IFERROR(__xludf.DUMMYFUNCTION("""COMPUTED_VALUE"""),"")</f>
        <v/>
      </c>
      <c r="J172" s="134" t="str">
        <f>IFERROR(__xludf.DUMMYFUNCTION("""COMPUTED_VALUE"""),"")</f>
        <v/>
      </c>
      <c r="K172" s="135">
        <f>IFERROR(__xludf.DUMMYFUNCTION("""COMPUTED_VALUE"""),0.0)</f>
        <v>0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>
      <c r="A173" s="2"/>
      <c r="B173" s="27"/>
      <c r="C173" s="27"/>
      <c r="D173" s="27"/>
      <c r="E173" s="131"/>
      <c r="F173" s="131"/>
      <c r="G173" s="133" t="str">
        <f>IFERROR(__xludf.DUMMYFUNCTION("""COMPUTED_VALUE"""),"")</f>
        <v/>
      </c>
      <c r="H173" s="133" t="str">
        <f>IFERROR(__xludf.DUMMYFUNCTION("""COMPUTED_VALUE"""),"")</f>
        <v/>
      </c>
      <c r="I173" s="133" t="str">
        <f>IFERROR(__xludf.DUMMYFUNCTION("""COMPUTED_VALUE"""),"")</f>
        <v/>
      </c>
      <c r="J173" s="134" t="str">
        <f>IFERROR(__xludf.DUMMYFUNCTION("""COMPUTED_VALUE"""),"")</f>
        <v/>
      </c>
      <c r="K173" s="135">
        <f>IFERROR(__xludf.DUMMYFUNCTION("""COMPUTED_VALUE"""),0.0)</f>
        <v>0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>
      <c r="A174" s="2"/>
      <c r="B174" s="27"/>
      <c r="C174" s="27"/>
      <c r="D174" s="27"/>
      <c r="E174" s="131"/>
      <c r="F174" s="131"/>
      <c r="G174" s="133" t="str">
        <f>IFERROR(__xludf.DUMMYFUNCTION("""COMPUTED_VALUE"""),"")</f>
        <v/>
      </c>
      <c r="H174" s="133" t="str">
        <f>IFERROR(__xludf.DUMMYFUNCTION("""COMPUTED_VALUE"""),"")</f>
        <v/>
      </c>
      <c r="I174" s="133" t="str">
        <f>IFERROR(__xludf.DUMMYFUNCTION("""COMPUTED_VALUE"""),"")</f>
        <v/>
      </c>
      <c r="J174" s="134" t="str">
        <f>IFERROR(__xludf.DUMMYFUNCTION("""COMPUTED_VALUE"""),"")</f>
        <v/>
      </c>
      <c r="K174" s="135">
        <f>IFERROR(__xludf.DUMMYFUNCTION("""COMPUTED_VALUE"""),0.0)</f>
        <v>0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>
      <c r="A175" s="2"/>
      <c r="B175" s="27"/>
      <c r="C175" s="27"/>
      <c r="D175" s="27"/>
      <c r="E175" s="131"/>
      <c r="F175" s="131"/>
      <c r="G175" s="133" t="str">
        <f>IFERROR(__xludf.DUMMYFUNCTION("""COMPUTED_VALUE"""),"")</f>
        <v/>
      </c>
      <c r="H175" s="133" t="str">
        <f>IFERROR(__xludf.DUMMYFUNCTION("""COMPUTED_VALUE"""),"")</f>
        <v/>
      </c>
      <c r="I175" s="133" t="str">
        <f>IFERROR(__xludf.DUMMYFUNCTION("""COMPUTED_VALUE"""),"")</f>
        <v/>
      </c>
      <c r="J175" s="134" t="str">
        <f>IFERROR(__xludf.DUMMYFUNCTION("""COMPUTED_VALUE"""),"")</f>
        <v/>
      </c>
      <c r="K175" s="135">
        <f>IFERROR(__xludf.DUMMYFUNCTION("""COMPUTED_VALUE"""),0.0)</f>
        <v>0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>
      <c r="A176" s="2"/>
      <c r="B176" s="27"/>
      <c r="C176" s="27"/>
      <c r="D176" s="27"/>
      <c r="E176" s="131"/>
      <c r="F176" s="131"/>
      <c r="G176" s="133" t="str">
        <f>IFERROR(__xludf.DUMMYFUNCTION("""COMPUTED_VALUE"""),"")</f>
        <v/>
      </c>
      <c r="H176" s="133" t="str">
        <f>IFERROR(__xludf.DUMMYFUNCTION("""COMPUTED_VALUE"""),"")</f>
        <v/>
      </c>
      <c r="I176" s="133" t="str">
        <f>IFERROR(__xludf.DUMMYFUNCTION("""COMPUTED_VALUE"""),"")</f>
        <v/>
      </c>
      <c r="J176" s="134" t="str">
        <f>IFERROR(__xludf.DUMMYFUNCTION("""COMPUTED_VALUE"""),"")</f>
        <v/>
      </c>
      <c r="K176" s="135">
        <f>IFERROR(__xludf.DUMMYFUNCTION("""COMPUTED_VALUE"""),0.0)</f>
        <v>0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>
      <c r="A177" s="2"/>
      <c r="B177" s="27"/>
      <c r="C177" s="27"/>
      <c r="D177" s="27"/>
      <c r="E177" s="131"/>
      <c r="F177" s="131"/>
      <c r="G177" s="133" t="str">
        <f>IFERROR(__xludf.DUMMYFUNCTION("""COMPUTED_VALUE"""),"")</f>
        <v/>
      </c>
      <c r="H177" s="133" t="str">
        <f>IFERROR(__xludf.DUMMYFUNCTION("""COMPUTED_VALUE"""),"")</f>
        <v/>
      </c>
      <c r="I177" s="133" t="str">
        <f>IFERROR(__xludf.DUMMYFUNCTION("""COMPUTED_VALUE"""),"")</f>
        <v/>
      </c>
      <c r="J177" s="134" t="str">
        <f>IFERROR(__xludf.DUMMYFUNCTION("""COMPUTED_VALUE"""),"")</f>
        <v/>
      </c>
      <c r="K177" s="135">
        <f>IFERROR(__xludf.DUMMYFUNCTION("""COMPUTED_VALUE"""),0.0)</f>
        <v>0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>
      <c r="A178" s="2"/>
      <c r="B178" s="27"/>
      <c r="C178" s="27"/>
      <c r="D178" s="27"/>
      <c r="E178" s="131"/>
      <c r="F178" s="131"/>
      <c r="G178" s="133" t="str">
        <f>IFERROR(__xludf.DUMMYFUNCTION("""COMPUTED_VALUE"""),"")</f>
        <v/>
      </c>
      <c r="H178" s="133" t="str">
        <f>IFERROR(__xludf.DUMMYFUNCTION("""COMPUTED_VALUE"""),"")</f>
        <v/>
      </c>
      <c r="I178" s="133" t="str">
        <f>IFERROR(__xludf.DUMMYFUNCTION("""COMPUTED_VALUE"""),"")</f>
        <v/>
      </c>
      <c r="J178" s="134" t="str">
        <f>IFERROR(__xludf.DUMMYFUNCTION("""COMPUTED_VALUE"""),"")</f>
        <v/>
      </c>
      <c r="K178" s="135">
        <f>IFERROR(__xludf.DUMMYFUNCTION("""COMPUTED_VALUE"""),0.0)</f>
        <v>0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>
      <c r="A179" s="2"/>
      <c r="B179" s="27"/>
      <c r="C179" s="27"/>
      <c r="D179" s="27"/>
      <c r="E179" s="131"/>
      <c r="F179" s="131"/>
      <c r="G179" s="133" t="str">
        <f>IFERROR(__xludf.DUMMYFUNCTION("""COMPUTED_VALUE"""),"")</f>
        <v/>
      </c>
      <c r="H179" s="133" t="str">
        <f>IFERROR(__xludf.DUMMYFUNCTION("""COMPUTED_VALUE"""),"")</f>
        <v/>
      </c>
      <c r="I179" s="133" t="str">
        <f>IFERROR(__xludf.DUMMYFUNCTION("""COMPUTED_VALUE"""),"")</f>
        <v/>
      </c>
      <c r="J179" s="134" t="str">
        <f>IFERROR(__xludf.DUMMYFUNCTION("""COMPUTED_VALUE"""),"")</f>
        <v/>
      </c>
      <c r="K179" s="135">
        <f>IFERROR(__xludf.DUMMYFUNCTION("""COMPUTED_VALUE"""),0.0)</f>
        <v>0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>
      <c r="A180" s="2"/>
      <c r="B180" s="27"/>
      <c r="C180" s="27"/>
      <c r="D180" s="27"/>
      <c r="E180" s="131"/>
      <c r="F180" s="131"/>
      <c r="G180" s="133" t="str">
        <f>IFERROR(__xludf.DUMMYFUNCTION("""COMPUTED_VALUE"""),"")</f>
        <v/>
      </c>
      <c r="H180" s="133" t="str">
        <f>IFERROR(__xludf.DUMMYFUNCTION("""COMPUTED_VALUE"""),"")</f>
        <v/>
      </c>
      <c r="I180" s="133" t="str">
        <f>IFERROR(__xludf.DUMMYFUNCTION("""COMPUTED_VALUE"""),"")</f>
        <v/>
      </c>
      <c r="J180" s="134" t="str">
        <f>IFERROR(__xludf.DUMMYFUNCTION("""COMPUTED_VALUE"""),"")</f>
        <v/>
      </c>
      <c r="K180" s="135">
        <f>IFERROR(__xludf.DUMMYFUNCTION("""COMPUTED_VALUE"""),0.0)</f>
        <v>0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>
      <c r="A181" s="2"/>
      <c r="B181" s="27"/>
      <c r="C181" s="27"/>
      <c r="D181" s="27"/>
      <c r="E181" s="131"/>
      <c r="F181" s="131"/>
      <c r="G181" s="133" t="str">
        <f>IFERROR(__xludf.DUMMYFUNCTION("""COMPUTED_VALUE"""),"")</f>
        <v/>
      </c>
      <c r="H181" s="133" t="str">
        <f>IFERROR(__xludf.DUMMYFUNCTION("""COMPUTED_VALUE"""),"")</f>
        <v/>
      </c>
      <c r="I181" s="133" t="str">
        <f>IFERROR(__xludf.DUMMYFUNCTION("""COMPUTED_VALUE"""),"")</f>
        <v/>
      </c>
      <c r="J181" s="134" t="str">
        <f>IFERROR(__xludf.DUMMYFUNCTION("""COMPUTED_VALUE"""),"")</f>
        <v/>
      </c>
      <c r="K181" s="135">
        <f>IFERROR(__xludf.DUMMYFUNCTION("""COMPUTED_VALUE"""),0.0)</f>
        <v>0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>
      <c r="A182" s="2"/>
      <c r="B182" s="27"/>
      <c r="C182" s="27"/>
      <c r="D182" s="27"/>
      <c r="E182" s="131"/>
      <c r="F182" s="131"/>
      <c r="G182" s="133" t="str">
        <f>IFERROR(__xludf.DUMMYFUNCTION("""COMPUTED_VALUE"""),"")</f>
        <v/>
      </c>
      <c r="H182" s="133" t="str">
        <f>IFERROR(__xludf.DUMMYFUNCTION("""COMPUTED_VALUE"""),"")</f>
        <v/>
      </c>
      <c r="I182" s="133" t="str">
        <f>IFERROR(__xludf.DUMMYFUNCTION("""COMPUTED_VALUE"""),"")</f>
        <v/>
      </c>
      <c r="J182" s="134" t="str">
        <f>IFERROR(__xludf.DUMMYFUNCTION("""COMPUTED_VALUE"""),"")</f>
        <v/>
      </c>
      <c r="K182" s="135">
        <f>IFERROR(__xludf.DUMMYFUNCTION("""COMPUTED_VALUE"""),0.0)</f>
        <v>0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>
      <c r="A183" s="2"/>
      <c r="B183" s="27"/>
      <c r="C183" s="27"/>
      <c r="D183" s="27"/>
      <c r="E183" s="131"/>
      <c r="F183" s="131"/>
      <c r="G183" s="133" t="str">
        <f>IFERROR(__xludf.DUMMYFUNCTION("""COMPUTED_VALUE"""),"")</f>
        <v/>
      </c>
      <c r="H183" s="133" t="str">
        <f>IFERROR(__xludf.DUMMYFUNCTION("""COMPUTED_VALUE"""),"")</f>
        <v/>
      </c>
      <c r="I183" s="133" t="str">
        <f>IFERROR(__xludf.DUMMYFUNCTION("""COMPUTED_VALUE"""),"")</f>
        <v/>
      </c>
      <c r="J183" s="134" t="str">
        <f>IFERROR(__xludf.DUMMYFUNCTION("""COMPUTED_VALUE"""),"")</f>
        <v/>
      </c>
      <c r="K183" s="135">
        <f>IFERROR(__xludf.DUMMYFUNCTION("""COMPUTED_VALUE"""),0.0)</f>
        <v>0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>
      <c r="A184" s="2"/>
      <c r="B184" s="27"/>
      <c r="C184" s="27"/>
      <c r="D184" s="27"/>
      <c r="E184" s="131"/>
      <c r="F184" s="131"/>
      <c r="G184" s="133" t="str">
        <f>IFERROR(__xludf.DUMMYFUNCTION("""COMPUTED_VALUE"""),"")</f>
        <v/>
      </c>
      <c r="H184" s="133" t="str">
        <f>IFERROR(__xludf.DUMMYFUNCTION("""COMPUTED_VALUE"""),"")</f>
        <v/>
      </c>
      <c r="I184" s="133" t="str">
        <f>IFERROR(__xludf.DUMMYFUNCTION("""COMPUTED_VALUE"""),"")</f>
        <v/>
      </c>
      <c r="J184" s="134" t="str">
        <f>IFERROR(__xludf.DUMMYFUNCTION("""COMPUTED_VALUE"""),"")</f>
        <v/>
      </c>
      <c r="K184" s="135">
        <f>IFERROR(__xludf.DUMMYFUNCTION("""COMPUTED_VALUE"""),0.0)</f>
        <v>0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>
      <c r="A185" s="2"/>
      <c r="B185" s="27"/>
      <c r="C185" s="27"/>
      <c r="D185" s="27"/>
      <c r="E185" s="131"/>
      <c r="F185" s="131"/>
      <c r="G185" s="133" t="str">
        <f>IFERROR(__xludf.DUMMYFUNCTION("""COMPUTED_VALUE"""),"")</f>
        <v/>
      </c>
      <c r="H185" s="133" t="str">
        <f>IFERROR(__xludf.DUMMYFUNCTION("""COMPUTED_VALUE"""),"")</f>
        <v/>
      </c>
      <c r="I185" s="133" t="str">
        <f>IFERROR(__xludf.DUMMYFUNCTION("""COMPUTED_VALUE"""),"")</f>
        <v/>
      </c>
      <c r="J185" s="134" t="str">
        <f>IFERROR(__xludf.DUMMYFUNCTION("""COMPUTED_VALUE"""),"")</f>
        <v/>
      </c>
      <c r="K185" s="135">
        <f>IFERROR(__xludf.DUMMYFUNCTION("""COMPUTED_VALUE"""),0.0)</f>
        <v>0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>
      <c r="A186" s="2"/>
      <c r="B186" s="27"/>
      <c r="C186" s="27"/>
      <c r="D186" s="27"/>
      <c r="E186" s="131"/>
      <c r="F186" s="131"/>
      <c r="G186" s="133" t="str">
        <f>IFERROR(__xludf.DUMMYFUNCTION("""COMPUTED_VALUE"""),"")</f>
        <v/>
      </c>
      <c r="H186" s="133" t="str">
        <f>IFERROR(__xludf.DUMMYFUNCTION("""COMPUTED_VALUE"""),"")</f>
        <v/>
      </c>
      <c r="I186" s="133" t="str">
        <f>IFERROR(__xludf.DUMMYFUNCTION("""COMPUTED_VALUE"""),"")</f>
        <v/>
      </c>
      <c r="J186" s="134" t="str">
        <f>IFERROR(__xludf.DUMMYFUNCTION("""COMPUTED_VALUE"""),"")</f>
        <v/>
      </c>
      <c r="K186" s="135">
        <f>IFERROR(__xludf.DUMMYFUNCTION("""COMPUTED_VALUE"""),0.0)</f>
        <v>0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>
      <c r="A187" s="2"/>
      <c r="B187" s="27"/>
      <c r="C187" s="27"/>
      <c r="D187" s="27"/>
      <c r="E187" s="131"/>
      <c r="F187" s="131"/>
      <c r="G187" s="133" t="str">
        <f>IFERROR(__xludf.DUMMYFUNCTION("""COMPUTED_VALUE"""),"")</f>
        <v/>
      </c>
      <c r="H187" s="133" t="str">
        <f>IFERROR(__xludf.DUMMYFUNCTION("""COMPUTED_VALUE"""),"")</f>
        <v/>
      </c>
      <c r="I187" s="133" t="str">
        <f>IFERROR(__xludf.DUMMYFUNCTION("""COMPUTED_VALUE"""),"")</f>
        <v/>
      </c>
      <c r="J187" s="134" t="str">
        <f>IFERROR(__xludf.DUMMYFUNCTION("""COMPUTED_VALUE"""),"")</f>
        <v/>
      </c>
      <c r="K187" s="135">
        <f>IFERROR(__xludf.DUMMYFUNCTION("""COMPUTED_VALUE"""),0.0)</f>
        <v>0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>
      <c r="A188" s="2"/>
      <c r="B188" s="27"/>
      <c r="C188" s="27"/>
      <c r="D188" s="27"/>
      <c r="E188" s="131"/>
      <c r="F188" s="131"/>
      <c r="G188" s="133" t="str">
        <f>IFERROR(__xludf.DUMMYFUNCTION("""COMPUTED_VALUE"""),"")</f>
        <v/>
      </c>
      <c r="H188" s="133" t="str">
        <f>IFERROR(__xludf.DUMMYFUNCTION("""COMPUTED_VALUE"""),"")</f>
        <v/>
      </c>
      <c r="I188" s="133" t="str">
        <f>IFERROR(__xludf.DUMMYFUNCTION("""COMPUTED_VALUE"""),"")</f>
        <v/>
      </c>
      <c r="J188" s="134" t="str">
        <f>IFERROR(__xludf.DUMMYFUNCTION("""COMPUTED_VALUE"""),"")</f>
        <v/>
      </c>
      <c r="K188" s="135">
        <f>IFERROR(__xludf.DUMMYFUNCTION("""COMPUTED_VALUE"""),0.0)</f>
        <v>0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>
      <c r="A189" s="2"/>
      <c r="B189" s="27"/>
      <c r="C189" s="27"/>
      <c r="D189" s="27"/>
      <c r="E189" s="131"/>
      <c r="F189" s="131"/>
      <c r="G189" s="133" t="str">
        <f>IFERROR(__xludf.DUMMYFUNCTION("""COMPUTED_VALUE"""),"")</f>
        <v/>
      </c>
      <c r="H189" s="133" t="str">
        <f>IFERROR(__xludf.DUMMYFUNCTION("""COMPUTED_VALUE"""),"")</f>
        <v/>
      </c>
      <c r="I189" s="133" t="str">
        <f>IFERROR(__xludf.DUMMYFUNCTION("""COMPUTED_VALUE"""),"")</f>
        <v/>
      </c>
      <c r="J189" s="134" t="str">
        <f>IFERROR(__xludf.DUMMYFUNCTION("""COMPUTED_VALUE"""),"")</f>
        <v/>
      </c>
      <c r="K189" s="135">
        <f>IFERROR(__xludf.DUMMYFUNCTION("""COMPUTED_VALUE"""),0.0)</f>
        <v>0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>
      <c r="A190" s="2"/>
      <c r="B190" s="27"/>
      <c r="C190" s="27"/>
      <c r="D190" s="27"/>
      <c r="E190" s="131"/>
      <c r="F190" s="131"/>
      <c r="G190" s="133" t="str">
        <f>IFERROR(__xludf.DUMMYFUNCTION("""COMPUTED_VALUE"""),"")</f>
        <v/>
      </c>
      <c r="H190" s="133" t="str">
        <f>IFERROR(__xludf.DUMMYFUNCTION("""COMPUTED_VALUE"""),"")</f>
        <v/>
      </c>
      <c r="I190" s="133" t="str">
        <f>IFERROR(__xludf.DUMMYFUNCTION("""COMPUTED_VALUE"""),"")</f>
        <v/>
      </c>
      <c r="J190" s="134" t="str">
        <f>IFERROR(__xludf.DUMMYFUNCTION("""COMPUTED_VALUE"""),"")</f>
        <v/>
      </c>
      <c r="K190" s="135">
        <f>IFERROR(__xludf.DUMMYFUNCTION("""COMPUTED_VALUE"""),0.0)</f>
        <v>0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>
      <c r="A191" s="2"/>
      <c r="B191" s="27"/>
      <c r="C191" s="27"/>
      <c r="D191" s="27"/>
      <c r="E191" s="131"/>
      <c r="F191" s="131"/>
      <c r="G191" s="133" t="str">
        <f>IFERROR(__xludf.DUMMYFUNCTION("""COMPUTED_VALUE"""),"")</f>
        <v/>
      </c>
      <c r="H191" s="133" t="str">
        <f>IFERROR(__xludf.DUMMYFUNCTION("""COMPUTED_VALUE"""),"")</f>
        <v/>
      </c>
      <c r="I191" s="133" t="str">
        <f>IFERROR(__xludf.DUMMYFUNCTION("""COMPUTED_VALUE"""),"")</f>
        <v/>
      </c>
      <c r="J191" s="134" t="str">
        <f>IFERROR(__xludf.DUMMYFUNCTION("""COMPUTED_VALUE"""),"")</f>
        <v/>
      </c>
      <c r="K191" s="135">
        <f>IFERROR(__xludf.DUMMYFUNCTION("""COMPUTED_VALUE"""),0.0)</f>
        <v>0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>
      <c r="A192" s="2"/>
      <c r="B192" s="27"/>
      <c r="C192" s="27"/>
      <c r="D192" s="27"/>
      <c r="E192" s="131"/>
      <c r="F192" s="131"/>
      <c r="G192" s="133" t="str">
        <f>IFERROR(__xludf.DUMMYFUNCTION("""COMPUTED_VALUE"""),"")</f>
        <v/>
      </c>
      <c r="H192" s="133" t="str">
        <f>IFERROR(__xludf.DUMMYFUNCTION("""COMPUTED_VALUE"""),"")</f>
        <v/>
      </c>
      <c r="I192" s="133" t="str">
        <f>IFERROR(__xludf.DUMMYFUNCTION("""COMPUTED_VALUE"""),"")</f>
        <v/>
      </c>
      <c r="J192" s="134" t="str">
        <f>IFERROR(__xludf.DUMMYFUNCTION("""COMPUTED_VALUE"""),"")</f>
        <v/>
      </c>
      <c r="K192" s="135">
        <f>IFERROR(__xludf.DUMMYFUNCTION("""COMPUTED_VALUE"""),0.0)</f>
        <v>0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>
      <c r="A193" s="2"/>
      <c r="B193" s="27"/>
      <c r="C193" s="27"/>
      <c r="D193" s="27"/>
      <c r="E193" s="131"/>
      <c r="F193" s="131"/>
      <c r="G193" s="133" t="str">
        <f>IFERROR(__xludf.DUMMYFUNCTION("""COMPUTED_VALUE"""),"")</f>
        <v/>
      </c>
      <c r="H193" s="133" t="str">
        <f>IFERROR(__xludf.DUMMYFUNCTION("""COMPUTED_VALUE"""),"")</f>
        <v/>
      </c>
      <c r="I193" s="133" t="str">
        <f>IFERROR(__xludf.DUMMYFUNCTION("""COMPUTED_VALUE"""),"")</f>
        <v/>
      </c>
      <c r="J193" s="134" t="str">
        <f>IFERROR(__xludf.DUMMYFUNCTION("""COMPUTED_VALUE"""),"")</f>
        <v/>
      </c>
      <c r="K193" s="135">
        <f>IFERROR(__xludf.DUMMYFUNCTION("""COMPUTED_VALUE"""),0.0)</f>
        <v>0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>
      <c r="A194" s="2"/>
      <c r="B194" s="27"/>
      <c r="C194" s="27"/>
      <c r="D194" s="27"/>
      <c r="E194" s="131"/>
      <c r="F194" s="131"/>
      <c r="G194" s="133" t="str">
        <f>IFERROR(__xludf.DUMMYFUNCTION("""COMPUTED_VALUE"""),"")</f>
        <v/>
      </c>
      <c r="H194" s="133" t="str">
        <f>IFERROR(__xludf.DUMMYFUNCTION("""COMPUTED_VALUE"""),"")</f>
        <v/>
      </c>
      <c r="I194" s="133" t="str">
        <f>IFERROR(__xludf.DUMMYFUNCTION("""COMPUTED_VALUE"""),"")</f>
        <v/>
      </c>
      <c r="J194" s="134" t="str">
        <f>IFERROR(__xludf.DUMMYFUNCTION("""COMPUTED_VALUE"""),"")</f>
        <v/>
      </c>
      <c r="K194" s="135">
        <f>IFERROR(__xludf.DUMMYFUNCTION("""COMPUTED_VALUE"""),0.0)</f>
        <v>0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>
      <c r="A195" s="2"/>
      <c r="B195" s="27"/>
      <c r="C195" s="27"/>
      <c r="D195" s="27"/>
      <c r="E195" s="131"/>
      <c r="F195" s="131"/>
      <c r="G195" s="133" t="str">
        <f>IFERROR(__xludf.DUMMYFUNCTION("""COMPUTED_VALUE"""),"")</f>
        <v/>
      </c>
      <c r="H195" s="133" t="str">
        <f>IFERROR(__xludf.DUMMYFUNCTION("""COMPUTED_VALUE"""),"")</f>
        <v/>
      </c>
      <c r="I195" s="133" t="str">
        <f>IFERROR(__xludf.DUMMYFUNCTION("""COMPUTED_VALUE"""),"")</f>
        <v/>
      </c>
      <c r="J195" s="134" t="str">
        <f>IFERROR(__xludf.DUMMYFUNCTION("""COMPUTED_VALUE"""),"")</f>
        <v/>
      </c>
      <c r="K195" s="135">
        <f>IFERROR(__xludf.DUMMYFUNCTION("""COMPUTED_VALUE"""),0.0)</f>
        <v>0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>
      <c r="A196" s="2"/>
      <c r="B196" s="27"/>
      <c r="C196" s="27"/>
      <c r="D196" s="27"/>
      <c r="E196" s="131"/>
      <c r="F196" s="131"/>
      <c r="G196" s="133" t="str">
        <f>IFERROR(__xludf.DUMMYFUNCTION("""COMPUTED_VALUE"""),"")</f>
        <v/>
      </c>
      <c r="H196" s="133" t="str">
        <f>IFERROR(__xludf.DUMMYFUNCTION("""COMPUTED_VALUE"""),"")</f>
        <v/>
      </c>
      <c r="I196" s="133" t="str">
        <f>IFERROR(__xludf.DUMMYFUNCTION("""COMPUTED_VALUE"""),"")</f>
        <v/>
      </c>
      <c r="J196" s="134" t="str">
        <f>IFERROR(__xludf.DUMMYFUNCTION("""COMPUTED_VALUE"""),"")</f>
        <v/>
      </c>
      <c r="K196" s="135">
        <f>IFERROR(__xludf.DUMMYFUNCTION("""COMPUTED_VALUE"""),0.0)</f>
        <v>0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>
      <c r="A197" s="2"/>
      <c r="B197" s="27"/>
      <c r="C197" s="27"/>
      <c r="D197" s="27"/>
      <c r="E197" s="131"/>
      <c r="F197" s="131"/>
      <c r="G197" s="133" t="str">
        <f>IFERROR(__xludf.DUMMYFUNCTION("""COMPUTED_VALUE"""),"")</f>
        <v/>
      </c>
      <c r="H197" s="133" t="str">
        <f>IFERROR(__xludf.DUMMYFUNCTION("""COMPUTED_VALUE"""),"")</f>
        <v/>
      </c>
      <c r="I197" s="133" t="str">
        <f>IFERROR(__xludf.DUMMYFUNCTION("""COMPUTED_VALUE"""),"")</f>
        <v/>
      </c>
      <c r="J197" s="134" t="str">
        <f>IFERROR(__xludf.DUMMYFUNCTION("""COMPUTED_VALUE"""),"")</f>
        <v/>
      </c>
      <c r="K197" s="135">
        <f>IFERROR(__xludf.DUMMYFUNCTION("""COMPUTED_VALUE"""),0.0)</f>
        <v>0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>
      <c r="A198" s="2"/>
      <c r="B198" s="27"/>
      <c r="C198" s="27"/>
      <c r="D198" s="27"/>
      <c r="E198" s="131"/>
      <c r="F198" s="131"/>
      <c r="G198" s="133" t="str">
        <f>IFERROR(__xludf.DUMMYFUNCTION("""COMPUTED_VALUE"""),"")</f>
        <v/>
      </c>
      <c r="H198" s="133" t="str">
        <f>IFERROR(__xludf.DUMMYFUNCTION("""COMPUTED_VALUE"""),"")</f>
        <v/>
      </c>
      <c r="I198" s="133" t="str">
        <f>IFERROR(__xludf.DUMMYFUNCTION("""COMPUTED_VALUE"""),"")</f>
        <v/>
      </c>
      <c r="J198" s="134" t="str">
        <f>IFERROR(__xludf.DUMMYFUNCTION("""COMPUTED_VALUE"""),"")</f>
        <v/>
      </c>
      <c r="K198" s="135">
        <f>IFERROR(__xludf.DUMMYFUNCTION("""COMPUTED_VALUE"""),0.0)</f>
        <v>0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>
      <c r="A199" s="2"/>
      <c r="B199" s="27"/>
      <c r="C199" s="27"/>
      <c r="D199" s="27"/>
      <c r="E199" s="131"/>
      <c r="F199" s="131"/>
      <c r="G199" s="133" t="str">
        <f>IFERROR(__xludf.DUMMYFUNCTION("""COMPUTED_VALUE"""),"")</f>
        <v/>
      </c>
      <c r="H199" s="133" t="str">
        <f>IFERROR(__xludf.DUMMYFUNCTION("""COMPUTED_VALUE"""),"")</f>
        <v/>
      </c>
      <c r="I199" s="133" t="str">
        <f>IFERROR(__xludf.DUMMYFUNCTION("""COMPUTED_VALUE"""),"")</f>
        <v/>
      </c>
      <c r="J199" s="134" t="str">
        <f>IFERROR(__xludf.DUMMYFUNCTION("""COMPUTED_VALUE"""),"")</f>
        <v/>
      </c>
      <c r="K199" s="135">
        <f>IFERROR(__xludf.DUMMYFUNCTION("""COMPUTED_VALUE"""),0.0)</f>
        <v>0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>
      <c r="A200" s="2"/>
      <c r="B200" s="27"/>
      <c r="C200" s="27"/>
      <c r="D200" s="27"/>
      <c r="E200" s="131"/>
      <c r="F200" s="131"/>
      <c r="G200" s="133" t="str">
        <f>IFERROR(__xludf.DUMMYFUNCTION("""COMPUTED_VALUE"""),"")</f>
        <v/>
      </c>
      <c r="H200" s="133" t="str">
        <f>IFERROR(__xludf.DUMMYFUNCTION("""COMPUTED_VALUE"""),"")</f>
        <v/>
      </c>
      <c r="I200" s="133" t="str">
        <f>IFERROR(__xludf.DUMMYFUNCTION("""COMPUTED_VALUE"""),"")</f>
        <v/>
      </c>
      <c r="J200" s="134" t="str">
        <f>IFERROR(__xludf.DUMMYFUNCTION("""COMPUTED_VALUE"""),"")</f>
        <v/>
      </c>
      <c r="K200" s="135">
        <f>IFERROR(__xludf.DUMMYFUNCTION("""COMPUTED_VALUE"""),0.0)</f>
        <v>0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>
      <c r="A201" s="2"/>
      <c r="B201" s="27"/>
      <c r="C201" s="27"/>
      <c r="D201" s="27"/>
      <c r="E201" s="131"/>
      <c r="F201" s="131"/>
      <c r="G201" s="133" t="str">
        <f>IFERROR(__xludf.DUMMYFUNCTION("""COMPUTED_VALUE"""),"")</f>
        <v/>
      </c>
      <c r="H201" s="133" t="str">
        <f>IFERROR(__xludf.DUMMYFUNCTION("""COMPUTED_VALUE"""),"")</f>
        <v/>
      </c>
      <c r="I201" s="133" t="str">
        <f>IFERROR(__xludf.DUMMYFUNCTION("""COMPUTED_VALUE"""),"")</f>
        <v/>
      </c>
      <c r="J201" s="134" t="str">
        <f>IFERROR(__xludf.DUMMYFUNCTION("""COMPUTED_VALUE"""),"")</f>
        <v/>
      </c>
      <c r="K201" s="135">
        <f>IFERROR(__xludf.DUMMYFUNCTION("""COMPUTED_VALUE"""),0.0)</f>
        <v>0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>
      <c r="A202" s="2"/>
      <c r="B202" s="27"/>
      <c r="C202" s="27"/>
      <c r="D202" s="27"/>
      <c r="E202" s="131"/>
      <c r="F202" s="131"/>
      <c r="G202" s="133" t="str">
        <f>IFERROR(__xludf.DUMMYFUNCTION("""COMPUTED_VALUE"""),"")</f>
        <v/>
      </c>
      <c r="H202" s="133" t="str">
        <f>IFERROR(__xludf.DUMMYFUNCTION("""COMPUTED_VALUE"""),"")</f>
        <v/>
      </c>
      <c r="I202" s="133" t="str">
        <f>IFERROR(__xludf.DUMMYFUNCTION("""COMPUTED_VALUE"""),"")</f>
        <v/>
      </c>
      <c r="J202" s="134" t="str">
        <f>IFERROR(__xludf.DUMMYFUNCTION("""COMPUTED_VALUE"""),"")</f>
        <v/>
      </c>
      <c r="K202" s="135">
        <f>IFERROR(__xludf.DUMMYFUNCTION("""COMPUTED_VALUE"""),0.0)</f>
        <v>0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>
      <c r="A203" s="2"/>
      <c r="B203" s="27"/>
      <c r="C203" s="27"/>
      <c r="D203" s="27"/>
      <c r="E203" s="131"/>
      <c r="F203" s="131"/>
      <c r="G203" s="133" t="str">
        <f>IFERROR(__xludf.DUMMYFUNCTION("""COMPUTED_VALUE"""),"")</f>
        <v/>
      </c>
      <c r="H203" s="133" t="str">
        <f>IFERROR(__xludf.DUMMYFUNCTION("""COMPUTED_VALUE"""),"")</f>
        <v/>
      </c>
      <c r="I203" s="133" t="str">
        <f>IFERROR(__xludf.DUMMYFUNCTION("""COMPUTED_VALUE"""),"")</f>
        <v/>
      </c>
      <c r="J203" s="134" t="str">
        <f>IFERROR(__xludf.DUMMYFUNCTION("""COMPUTED_VALUE"""),"")</f>
        <v/>
      </c>
      <c r="K203" s="135">
        <f>IFERROR(__xludf.DUMMYFUNCTION("""COMPUTED_VALUE"""),0.0)</f>
        <v>0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>
      <c r="A204" s="2"/>
      <c r="B204" s="27"/>
      <c r="C204" s="27"/>
      <c r="D204" s="27"/>
      <c r="E204" s="131"/>
      <c r="F204" s="131"/>
      <c r="G204" s="133" t="str">
        <f>IFERROR(__xludf.DUMMYFUNCTION("""COMPUTED_VALUE"""),"")</f>
        <v/>
      </c>
      <c r="H204" s="133" t="str">
        <f>IFERROR(__xludf.DUMMYFUNCTION("""COMPUTED_VALUE"""),"")</f>
        <v/>
      </c>
      <c r="I204" s="133" t="str">
        <f>IFERROR(__xludf.DUMMYFUNCTION("""COMPUTED_VALUE"""),"")</f>
        <v/>
      </c>
      <c r="J204" s="134" t="str">
        <f>IFERROR(__xludf.DUMMYFUNCTION("""COMPUTED_VALUE"""),"")</f>
        <v/>
      </c>
      <c r="K204" s="135">
        <f>IFERROR(__xludf.DUMMYFUNCTION("""COMPUTED_VALUE"""),0.0)</f>
        <v>0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>
      <c r="A205" s="2"/>
      <c r="B205" s="27"/>
      <c r="C205" s="27"/>
      <c r="D205" s="27"/>
      <c r="E205" s="131"/>
      <c r="F205" s="131"/>
      <c r="G205" s="133" t="str">
        <f>IFERROR(__xludf.DUMMYFUNCTION("""COMPUTED_VALUE"""),"")</f>
        <v/>
      </c>
      <c r="H205" s="133" t="str">
        <f>IFERROR(__xludf.DUMMYFUNCTION("""COMPUTED_VALUE"""),"")</f>
        <v/>
      </c>
      <c r="I205" s="133" t="str">
        <f>IFERROR(__xludf.DUMMYFUNCTION("""COMPUTED_VALUE"""),"")</f>
        <v/>
      </c>
      <c r="J205" s="134" t="str">
        <f>IFERROR(__xludf.DUMMYFUNCTION("""COMPUTED_VALUE"""),"")</f>
        <v/>
      </c>
      <c r="K205" s="135">
        <f>IFERROR(__xludf.DUMMYFUNCTION("""COMPUTED_VALUE"""),0.0)</f>
        <v>0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>
      <c r="A206" s="2"/>
      <c r="B206" s="27"/>
      <c r="C206" s="27"/>
      <c r="D206" s="27"/>
      <c r="E206" s="131"/>
      <c r="F206" s="131"/>
      <c r="G206" s="133" t="str">
        <f>IFERROR(__xludf.DUMMYFUNCTION("""COMPUTED_VALUE"""),"")</f>
        <v/>
      </c>
      <c r="H206" s="133" t="str">
        <f>IFERROR(__xludf.DUMMYFUNCTION("""COMPUTED_VALUE"""),"")</f>
        <v/>
      </c>
      <c r="I206" s="133" t="str">
        <f>IFERROR(__xludf.DUMMYFUNCTION("""COMPUTED_VALUE"""),"")</f>
        <v/>
      </c>
      <c r="J206" s="134" t="str">
        <f>IFERROR(__xludf.DUMMYFUNCTION("""COMPUTED_VALUE"""),"")</f>
        <v/>
      </c>
      <c r="K206" s="135">
        <f>IFERROR(__xludf.DUMMYFUNCTION("""COMPUTED_VALUE"""),0.0)</f>
        <v>0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>
      <c r="A207" s="2"/>
      <c r="B207" s="27"/>
      <c r="C207" s="27"/>
      <c r="D207" s="27"/>
      <c r="E207" s="131"/>
      <c r="F207" s="131"/>
      <c r="G207" s="133" t="str">
        <f>IFERROR(__xludf.DUMMYFUNCTION("""COMPUTED_VALUE"""),"")</f>
        <v/>
      </c>
      <c r="H207" s="133" t="str">
        <f>IFERROR(__xludf.DUMMYFUNCTION("""COMPUTED_VALUE"""),"")</f>
        <v/>
      </c>
      <c r="I207" s="133" t="str">
        <f>IFERROR(__xludf.DUMMYFUNCTION("""COMPUTED_VALUE"""),"")</f>
        <v/>
      </c>
      <c r="J207" s="134" t="str">
        <f>IFERROR(__xludf.DUMMYFUNCTION("""COMPUTED_VALUE"""),"")</f>
        <v/>
      </c>
      <c r="K207" s="135">
        <f>IFERROR(__xludf.DUMMYFUNCTION("""COMPUTED_VALUE"""),0.0)</f>
        <v>0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>
      <c r="A208" s="2"/>
      <c r="B208" s="27"/>
      <c r="C208" s="27"/>
      <c r="D208" s="27"/>
      <c r="E208" s="131"/>
      <c r="F208" s="131"/>
      <c r="G208" s="132"/>
      <c r="H208" s="133"/>
      <c r="I208" s="133"/>
      <c r="J208" s="134"/>
      <c r="K208" s="137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>
      <c r="A209" s="2"/>
      <c r="B209" s="27"/>
      <c r="C209" s="27"/>
      <c r="D209" s="27"/>
      <c r="E209" s="131"/>
      <c r="F209" s="131"/>
      <c r="G209" s="132"/>
      <c r="H209" s="133"/>
      <c r="I209" s="133"/>
      <c r="J209" s="134"/>
      <c r="K209" s="137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>
      <c r="A210" s="2"/>
      <c r="B210" s="27"/>
      <c r="C210" s="27"/>
      <c r="D210" s="27"/>
      <c r="E210" s="131"/>
      <c r="F210" s="131"/>
      <c r="G210" s="132"/>
      <c r="H210" s="133"/>
      <c r="I210" s="133"/>
      <c r="J210" s="134"/>
      <c r="K210" s="137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>
      <c r="A211" s="2"/>
      <c r="B211" s="27"/>
      <c r="C211" s="27"/>
      <c r="D211" s="27"/>
      <c r="E211" s="131"/>
      <c r="F211" s="131"/>
      <c r="G211" s="132"/>
      <c r="H211" s="133"/>
      <c r="I211" s="133"/>
      <c r="J211" s="134"/>
      <c r="K211" s="137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>
      <c r="A212" s="2"/>
      <c r="B212" s="27"/>
      <c r="C212" s="27"/>
      <c r="D212" s="27"/>
      <c r="E212" s="131"/>
      <c r="F212" s="131"/>
      <c r="G212" s="132"/>
      <c r="H212" s="133"/>
      <c r="I212" s="133"/>
      <c r="J212" s="134"/>
      <c r="K212" s="137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>
      <c r="A213" s="2"/>
      <c r="B213" s="27"/>
      <c r="C213" s="27"/>
      <c r="D213" s="27"/>
      <c r="E213" s="131"/>
      <c r="F213" s="131"/>
      <c r="G213" s="132"/>
      <c r="H213" s="133"/>
      <c r="I213" s="133"/>
      <c r="J213" s="134"/>
      <c r="K213" s="137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>
      <c r="A214" s="2"/>
      <c r="B214" s="27"/>
      <c r="C214" s="27"/>
      <c r="D214" s="27"/>
      <c r="E214" s="131"/>
      <c r="F214" s="131"/>
      <c r="G214" s="132"/>
      <c r="H214" s="133"/>
      <c r="I214" s="133"/>
      <c r="J214" s="134"/>
      <c r="K214" s="137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>
      <c r="A215" s="2"/>
      <c r="B215" s="27"/>
      <c r="C215" s="27"/>
      <c r="D215" s="27"/>
      <c r="E215" s="131"/>
      <c r="F215" s="131"/>
      <c r="G215" s="132"/>
      <c r="H215" s="133"/>
      <c r="I215" s="133"/>
      <c r="J215" s="134"/>
      <c r="K215" s="137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>
      <c r="A216" s="2"/>
      <c r="B216" s="27"/>
      <c r="C216" s="27"/>
      <c r="D216" s="27"/>
      <c r="E216" s="131"/>
      <c r="F216" s="131"/>
      <c r="G216" s="132"/>
      <c r="H216" s="133"/>
      <c r="I216" s="133"/>
      <c r="J216" s="134"/>
      <c r="K216" s="137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>
      <c r="A217" s="2"/>
      <c r="B217" s="27"/>
      <c r="C217" s="27"/>
      <c r="D217" s="27"/>
      <c r="E217" s="131"/>
      <c r="F217" s="131"/>
      <c r="G217" s="132"/>
      <c r="H217" s="133"/>
      <c r="I217" s="133"/>
      <c r="J217" s="134"/>
      <c r="K217" s="137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>
      <c r="A218" s="2"/>
      <c r="B218" s="27"/>
      <c r="C218" s="27"/>
      <c r="D218" s="27"/>
      <c r="E218" s="131"/>
      <c r="F218" s="131"/>
      <c r="G218" s="132"/>
      <c r="H218" s="133"/>
      <c r="I218" s="133"/>
      <c r="J218" s="134"/>
      <c r="K218" s="137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>
      <c r="A219" s="2"/>
      <c r="B219" s="27"/>
      <c r="C219" s="27"/>
      <c r="D219" s="27"/>
      <c r="E219" s="131"/>
      <c r="F219" s="131"/>
      <c r="G219" s="132"/>
      <c r="H219" s="133"/>
      <c r="I219" s="133"/>
      <c r="J219" s="134"/>
      <c r="K219" s="137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>
      <c r="A220" s="2"/>
      <c r="B220" s="27"/>
      <c r="C220" s="27"/>
      <c r="D220" s="27"/>
      <c r="E220" s="131"/>
      <c r="F220" s="131"/>
      <c r="G220" s="132"/>
      <c r="H220" s="133"/>
      <c r="I220" s="133"/>
      <c r="J220" s="134"/>
      <c r="K220" s="137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>
      <c r="A221" s="2"/>
      <c r="B221" s="27"/>
      <c r="C221" s="27"/>
      <c r="D221" s="27"/>
      <c r="E221" s="131"/>
      <c r="F221" s="131"/>
      <c r="G221" s="132"/>
      <c r="H221" s="133"/>
      <c r="I221" s="133"/>
      <c r="J221" s="134"/>
      <c r="K221" s="137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>
      <c r="A222" s="2"/>
      <c r="B222" s="27"/>
      <c r="C222" s="27"/>
      <c r="D222" s="27"/>
      <c r="E222" s="131"/>
      <c r="F222" s="131"/>
      <c r="G222" s="132"/>
      <c r="H222" s="133"/>
      <c r="I222" s="133"/>
      <c r="J222" s="134"/>
      <c r="K222" s="137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>
      <c r="A223" s="2"/>
      <c r="B223" s="27"/>
      <c r="C223" s="27"/>
      <c r="D223" s="27"/>
      <c r="E223" s="131"/>
      <c r="F223" s="131"/>
      <c r="G223" s="132"/>
      <c r="H223" s="133"/>
      <c r="I223" s="133"/>
      <c r="J223" s="134"/>
      <c r="K223" s="137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>
      <c r="A224" s="2"/>
      <c r="B224" s="27"/>
      <c r="C224" s="27"/>
      <c r="D224" s="27"/>
      <c r="E224" s="131"/>
      <c r="F224" s="131"/>
      <c r="G224" s="132"/>
      <c r="H224" s="133"/>
      <c r="I224" s="133"/>
      <c r="J224" s="134"/>
      <c r="K224" s="137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>
      <c r="A225" s="2"/>
      <c r="B225" s="27"/>
      <c r="C225" s="27"/>
      <c r="D225" s="27"/>
      <c r="E225" s="131"/>
      <c r="F225" s="131"/>
      <c r="G225" s="132"/>
      <c r="H225" s="133"/>
      <c r="I225" s="133"/>
      <c r="J225" s="134"/>
      <c r="K225" s="137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>
      <c r="A226" s="2"/>
      <c r="B226" s="27"/>
      <c r="C226" s="27"/>
      <c r="D226" s="27"/>
      <c r="E226" s="131"/>
      <c r="F226" s="131"/>
      <c r="G226" s="132"/>
      <c r="H226" s="133"/>
      <c r="I226" s="133"/>
      <c r="J226" s="134"/>
      <c r="K226" s="137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>
      <c r="A227" s="2"/>
      <c r="B227" s="27"/>
      <c r="C227" s="27"/>
      <c r="D227" s="27"/>
      <c r="E227" s="131"/>
      <c r="F227" s="131"/>
      <c r="G227" s="132"/>
      <c r="H227" s="133"/>
      <c r="I227" s="133"/>
      <c r="J227" s="134"/>
      <c r="K227" s="137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>
      <c r="A228" s="2"/>
      <c r="B228" s="27"/>
      <c r="C228" s="27"/>
      <c r="D228" s="27"/>
      <c r="E228" s="131"/>
      <c r="F228" s="131"/>
      <c r="G228" s="132"/>
      <c r="H228" s="133"/>
      <c r="I228" s="133"/>
      <c r="J228" s="134"/>
      <c r="K228" s="137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>
      <c r="A229" s="2"/>
      <c r="B229" s="27"/>
      <c r="C229" s="27"/>
      <c r="D229" s="27"/>
      <c r="E229" s="131"/>
      <c r="F229" s="131"/>
      <c r="G229" s="132"/>
      <c r="H229" s="133"/>
      <c r="I229" s="133"/>
      <c r="J229" s="134"/>
      <c r="K229" s="137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>
      <c r="A230" s="2"/>
      <c r="B230" s="27"/>
      <c r="C230" s="27"/>
      <c r="D230" s="27"/>
      <c r="E230" s="131"/>
      <c r="F230" s="131"/>
      <c r="G230" s="132"/>
      <c r="H230" s="133"/>
      <c r="I230" s="133"/>
      <c r="J230" s="134"/>
      <c r="K230" s="137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>
      <c r="A231" s="2"/>
      <c r="B231" s="27"/>
      <c r="C231" s="27"/>
      <c r="D231" s="27"/>
      <c r="E231" s="131"/>
      <c r="F231" s="131"/>
      <c r="G231" s="132"/>
      <c r="H231" s="133"/>
      <c r="I231" s="133"/>
      <c r="J231" s="134"/>
      <c r="K231" s="137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>
      <c r="A232" s="2"/>
      <c r="B232" s="27"/>
      <c r="C232" s="27"/>
      <c r="D232" s="27"/>
      <c r="E232" s="131"/>
      <c r="F232" s="131"/>
      <c r="G232" s="132"/>
      <c r="H232" s="133"/>
      <c r="I232" s="133"/>
      <c r="J232" s="134"/>
      <c r="K232" s="137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>
      <c r="A233" s="2"/>
      <c r="B233" s="27"/>
      <c r="C233" s="27"/>
      <c r="D233" s="27"/>
      <c r="E233" s="131"/>
      <c r="F233" s="131"/>
      <c r="G233" s="132"/>
      <c r="H233" s="133"/>
      <c r="I233" s="133"/>
      <c r="J233" s="134"/>
      <c r="K233" s="137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>
      <c r="A234" s="2"/>
      <c r="B234" s="27"/>
      <c r="C234" s="27"/>
      <c r="D234" s="27"/>
      <c r="E234" s="131"/>
      <c r="F234" s="131"/>
      <c r="G234" s="132"/>
      <c r="H234" s="133"/>
      <c r="I234" s="133"/>
      <c r="J234" s="134"/>
      <c r="K234" s="137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>
      <c r="A235" s="2"/>
      <c r="B235" s="27"/>
      <c r="C235" s="27"/>
      <c r="D235" s="27"/>
      <c r="E235" s="131"/>
      <c r="F235" s="131"/>
      <c r="G235" s="132"/>
      <c r="H235" s="133"/>
      <c r="I235" s="133"/>
      <c r="J235" s="134"/>
      <c r="K235" s="137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>
      <c r="A236" s="2"/>
      <c r="B236" s="27"/>
      <c r="C236" s="27"/>
      <c r="D236" s="27"/>
      <c r="E236" s="131"/>
      <c r="F236" s="131"/>
      <c r="G236" s="132"/>
      <c r="H236" s="133"/>
      <c r="I236" s="133"/>
      <c r="J236" s="134"/>
      <c r="K236" s="137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>
      <c r="A237" s="2"/>
      <c r="B237" s="27"/>
      <c r="C237" s="27"/>
      <c r="D237" s="27"/>
      <c r="E237" s="131"/>
      <c r="F237" s="131"/>
      <c r="G237" s="132"/>
      <c r="H237" s="133"/>
      <c r="I237" s="133"/>
      <c r="J237" s="134"/>
      <c r="K237" s="137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>
      <c r="A238" s="2"/>
      <c r="B238" s="27"/>
      <c r="C238" s="27"/>
      <c r="D238" s="27"/>
      <c r="E238" s="131"/>
      <c r="F238" s="131"/>
      <c r="G238" s="132"/>
      <c r="H238" s="133"/>
      <c r="I238" s="133"/>
      <c r="J238" s="134"/>
      <c r="K238" s="137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>
      <c r="A239" s="2"/>
      <c r="B239" s="27"/>
      <c r="C239" s="27"/>
      <c r="D239" s="27"/>
      <c r="E239" s="131"/>
      <c r="F239" s="131"/>
      <c r="G239" s="132"/>
      <c r="H239" s="133"/>
      <c r="I239" s="133"/>
      <c r="J239" s="134"/>
      <c r="K239" s="137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>
      <c r="A240" s="2"/>
      <c r="B240" s="27"/>
      <c r="C240" s="27"/>
      <c r="D240" s="27"/>
      <c r="E240" s="131"/>
      <c r="F240" s="131"/>
      <c r="G240" s="132"/>
      <c r="H240" s="133"/>
      <c r="I240" s="133"/>
      <c r="J240" s="134"/>
      <c r="K240" s="137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>
      <c r="A241" s="2"/>
      <c r="B241" s="27"/>
      <c r="C241" s="27"/>
      <c r="D241" s="27"/>
      <c r="E241" s="131"/>
      <c r="F241" s="131"/>
      <c r="G241" s="132"/>
      <c r="H241" s="133"/>
      <c r="I241" s="133"/>
      <c r="J241" s="134"/>
      <c r="K241" s="137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>
      <c r="A242" s="2"/>
      <c r="B242" s="27"/>
      <c r="C242" s="27"/>
      <c r="D242" s="27"/>
      <c r="E242" s="131"/>
      <c r="F242" s="131"/>
      <c r="G242" s="132"/>
      <c r="H242" s="133"/>
      <c r="I242" s="133"/>
      <c r="J242" s="134"/>
      <c r="K242" s="137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>
      <c r="A243" s="2"/>
      <c r="B243" s="27"/>
      <c r="C243" s="27"/>
      <c r="D243" s="27"/>
      <c r="E243" s="131"/>
      <c r="F243" s="131"/>
      <c r="G243" s="132"/>
      <c r="H243" s="133"/>
      <c r="I243" s="133"/>
      <c r="J243" s="134"/>
      <c r="K243" s="137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>
      <c r="A244" s="2"/>
      <c r="B244" s="27"/>
      <c r="C244" s="27"/>
      <c r="D244" s="27"/>
      <c r="E244" s="131"/>
      <c r="F244" s="131"/>
      <c r="G244" s="132"/>
      <c r="H244" s="133"/>
      <c r="I244" s="133"/>
      <c r="J244" s="134"/>
      <c r="K244" s="137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>
      <c r="A245" s="2"/>
      <c r="B245" s="27"/>
      <c r="C245" s="27"/>
      <c r="D245" s="27"/>
      <c r="E245" s="131"/>
      <c r="F245" s="131"/>
      <c r="G245" s="132"/>
      <c r="H245" s="133"/>
      <c r="I245" s="133"/>
      <c r="J245" s="134"/>
      <c r="K245" s="137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>
      <c r="A246" s="2"/>
      <c r="B246" s="27"/>
      <c r="C246" s="27"/>
      <c r="D246" s="27"/>
      <c r="E246" s="131"/>
      <c r="F246" s="131"/>
      <c r="G246" s="132"/>
      <c r="H246" s="133"/>
      <c r="I246" s="133"/>
      <c r="J246" s="134"/>
      <c r="K246" s="137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>
      <c r="A247" s="2"/>
      <c r="B247" s="27"/>
      <c r="C247" s="27"/>
      <c r="D247" s="27"/>
      <c r="E247" s="131"/>
      <c r="F247" s="131"/>
      <c r="G247" s="132"/>
      <c r="H247" s="133"/>
      <c r="I247" s="133"/>
      <c r="J247" s="134"/>
      <c r="K247" s="137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>
      <c r="A248" s="2"/>
      <c r="B248" s="27"/>
      <c r="C248" s="27"/>
      <c r="D248" s="27"/>
      <c r="E248" s="131"/>
      <c r="F248" s="131"/>
      <c r="G248" s="132"/>
      <c r="H248" s="133"/>
      <c r="I248" s="133"/>
      <c r="J248" s="134"/>
      <c r="K248" s="137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>
      <c r="A249" s="2"/>
      <c r="B249" s="27"/>
      <c r="C249" s="27"/>
      <c r="D249" s="27"/>
      <c r="E249" s="131"/>
      <c r="F249" s="131"/>
      <c r="G249" s="132"/>
      <c r="H249" s="133"/>
      <c r="I249" s="133"/>
      <c r="J249" s="134"/>
      <c r="K249" s="137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>
      <c r="A250" s="2"/>
      <c r="B250" s="27"/>
      <c r="C250" s="27"/>
      <c r="D250" s="27"/>
      <c r="E250" s="131"/>
      <c r="F250" s="131"/>
      <c r="G250" s="132"/>
      <c r="H250" s="133"/>
      <c r="I250" s="133"/>
      <c r="J250" s="134"/>
      <c r="K250" s="137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>
      <c r="A251" s="2"/>
      <c r="B251" s="27"/>
      <c r="C251" s="27"/>
      <c r="D251" s="27"/>
      <c r="E251" s="131"/>
      <c r="F251" s="131"/>
      <c r="G251" s="132"/>
      <c r="H251" s="133"/>
      <c r="I251" s="133"/>
      <c r="J251" s="134"/>
      <c r="K251" s="137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>
      <c r="A252" s="2"/>
      <c r="B252" s="27"/>
      <c r="C252" s="27"/>
      <c r="D252" s="27"/>
      <c r="E252" s="131"/>
      <c r="F252" s="131"/>
      <c r="G252" s="132"/>
      <c r="H252" s="133"/>
      <c r="I252" s="133"/>
      <c r="J252" s="134"/>
      <c r="K252" s="137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>
      <c r="A253" s="2"/>
      <c r="B253" s="27"/>
      <c r="C253" s="27"/>
      <c r="D253" s="27"/>
      <c r="E253" s="131"/>
      <c r="F253" s="131"/>
      <c r="G253" s="132"/>
      <c r="H253" s="133"/>
      <c r="I253" s="133"/>
      <c r="J253" s="134"/>
      <c r="K253" s="137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>
      <c r="A254" s="2"/>
      <c r="B254" s="27"/>
      <c r="C254" s="27"/>
      <c r="D254" s="27"/>
      <c r="E254" s="131"/>
      <c r="F254" s="131"/>
      <c r="G254" s="132"/>
      <c r="H254" s="133"/>
      <c r="I254" s="133"/>
      <c r="J254" s="134"/>
      <c r="K254" s="137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>
      <c r="A255" s="2"/>
      <c r="B255" s="27"/>
      <c r="C255" s="27"/>
      <c r="D255" s="27"/>
      <c r="E255" s="131"/>
      <c r="F255" s="131"/>
      <c r="G255" s="132"/>
      <c r="H255" s="133"/>
      <c r="I255" s="133"/>
      <c r="J255" s="134"/>
      <c r="K255" s="137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>
      <c r="A256" s="2"/>
      <c r="B256" s="27"/>
      <c r="C256" s="27"/>
      <c r="D256" s="27"/>
      <c r="E256" s="131"/>
      <c r="F256" s="131"/>
      <c r="G256" s="132"/>
      <c r="H256" s="133"/>
      <c r="I256" s="133"/>
      <c r="J256" s="134"/>
      <c r="K256" s="137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>
      <c r="A257" s="2"/>
      <c r="B257" s="27"/>
      <c r="C257" s="27"/>
      <c r="D257" s="27"/>
      <c r="E257" s="131"/>
      <c r="F257" s="131"/>
      <c r="G257" s="132"/>
      <c r="H257" s="133"/>
      <c r="I257" s="133"/>
      <c r="J257" s="134"/>
      <c r="K257" s="137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>
      <c r="A258" s="2"/>
      <c r="B258" s="27"/>
      <c r="C258" s="27"/>
      <c r="D258" s="27"/>
      <c r="E258" s="131"/>
      <c r="F258" s="131"/>
      <c r="G258" s="132"/>
      <c r="H258" s="133"/>
      <c r="I258" s="133"/>
      <c r="J258" s="134"/>
      <c r="K258" s="137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>
      <c r="A259" s="2"/>
      <c r="B259" s="27"/>
      <c r="C259" s="27"/>
      <c r="D259" s="27"/>
      <c r="E259" s="131"/>
      <c r="F259" s="131"/>
      <c r="G259" s="132"/>
      <c r="H259" s="133"/>
      <c r="I259" s="133"/>
      <c r="J259" s="134"/>
      <c r="K259" s="137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>
      <c r="A260" s="2"/>
      <c r="B260" s="27"/>
      <c r="C260" s="27"/>
      <c r="D260" s="27"/>
      <c r="E260" s="131"/>
      <c r="F260" s="131"/>
      <c r="G260" s="132"/>
      <c r="H260" s="133"/>
      <c r="I260" s="133"/>
      <c r="J260" s="134"/>
      <c r="K260" s="137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>
      <c r="A261" s="2"/>
      <c r="B261" s="27"/>
      <c r="C261" s="27"/>
      <c r="D261" s="27"/>
      <c r="E261" s="131"/>
      <c r="F261" s="131"/>
      <c r="G261" s="132"/>
      <c r="H261" s="133"/>
      <c r="I261" s="133"/>
      <c r="J261" s="134"/>
      <c r="K261" s="137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>
      <c r="A262" s="2"/>
      <c r="B262" s="27"/>
      <c r="C262" s="27"/>
      <c r="D262" s="27"/>
      <c r="E262" s="131"/>
      <c r="F262" s="131"/>
      <c r="G262" s="132"/>
      <c r="H262" s="133"/>
      <c r="I262" s="133"/>
      <c r="J262" s="134"/>
      <c r="K262" s="137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>
      <c r="A263" s="2"/>
      <c r="B263" s="27"/>
      <c r="C263" s="27"/>
      <c r="D263" s="27"/>
      <c r="E263" s="131"/>
      <c r="F263" s="131"/>
      <c r="G263" s="132"/>
      <c r="H263" s="133"/>
      <c r="I263" s="133"/>
      <c r="J263" s="134"/>
      <c r="K263" s="137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>
      <c r="A264" s="2"/>
      <c r="B264" s="27"/>
      <c r="C264" s="27"/>
      <c r="D264" s="27"/>
      <c r="E264" s="131"/>
      <c r="F264" s="131"/>
      <c r="G264" s="132"/>
      <c r="H264" s="133"/>
      <c r="I264" s="133"/>
      <c r="J264" s="134"/>
      <c r="K264" s="137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>
      <c r="A265" s="2"/>
      <c r="B265" s="27"/>
      <c r="C265" s="27"/>
      <c r="D265" s="27"/>
      <c r="E265" s="131"/>
      <c r="F265" s="131"/>
      <c r="G265" s="132"/>
      <c r="H265" s="133"/>
      <c r="I265" s="133"/>
      <c r="J265" s="134"/>
      <c r="K265" s="137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>
      <c r="A266" s="2"/>
      <c r="B266" s="27"/>
      <c r="C266" s="27"/>
      <c r="D266" s="27"/>
      <c r="E266" s="131"/>
      <c r="F266" s="131"/>
      <c r="G266" s="132"/>
      <c r="H266" s="133"/>
      <c r="I266" s="133"/>
      <c r="J266" s="134"/>
      <c r="K266" s="137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>
      <c r="A267" s="2"/>
      <c r="B267" s="27"/>
      <c r="C267" s="27"/>
      <c r="D267" s="27"/>
      <c r="E267" s="131"/>
      <c r="F267" s="131"/>
      <c r="G267" s="132"/>
      <c r="H267" s="133"/>
      <c r="I267" s="133"/>
      <c r="J267" s="134"/>
      <c r="K267" s="137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>
      <c r="A268" s="2"/>
      <c r="B268" s="27"/>
      <c r="C268" s="27"/>
      <c r="D268" s="27"/>
      <c r="E268" s="131"/>
      <c r="F268" s="131"/>
      <c r="G268" s="132"/>
      <c r="H268" s="133"/>
      <c r="I268" s="133"/>
      <c r="J268" s="134"/>
      <c r="K268" s="137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>
      <c r="A269" s="2"/>
      <c r="B269" s="27"/>
      <c r="C269" s="27"/>
      <c r="D269" s="27"/>
      <c r="E269" s="131"/>
      <c r="F269" s="131"/>
      <c r="G269" s="132"/>
      <c r="H269" s="133"/>
      <c r="I269" s="133"/>
      <c r="J269" s="134"/>
      <c r="K269" s="137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>
      <c r="A270" s="2"/>
      <c r="B270" s="27"/>
      <c r="C270" s="27"/>
      <c r="D270" s="27"/>
      <c r="E270" s="131"/>
      <c r="F270" s="131"/>
      <c r="G270" s="132"/>
      <c r="H270" s="133"/>
      <c r="I270" s="133"/>
      <c r="J270" s="134"/>
      <c r="K270" s="137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>
      <c r="A271" s="2"/>
      <c r="B271" s="27"/>
      <c r="C271" s="27"/>
      <c r="D271" s="27"/>
      <c r="E271" s="131"/>
      <c r="F271" s="131"/>
      <c r="G271" s="132"/>
      <c r="H271" s="133"/>
      <c r="I271" s="133"/>
      <c r="J271" s="134"/>
      <c r="K271" s="137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>
      <c r="A272" s="2"/>
      <c r="B272" s="27"/>
      <c r="C272" s="27"/>
      <c r="D272" s="27"/>
      <c r="E272" s="131"/>
      <c r="F272" s="131"/>
      <c r="G272" s="132"/>
      <c r="H272" s="133"/>
      <c r="I272" s="133"/>
      <c r="J272" s="134"/>
      <c r="K272" s="137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>
      <c r="A273" s="2"/>
      <c r="B273" s="27"/>
      <c r="C273" s="27"/>
      <c r="D273" s="27"/>
      <c r="E273" s="131"/>
      <c r="F273" s="131"/>
      <c r="G273" s="132"/>
      <c r="H273" s="133"/>
      <c r="I273" s="133"/>
      <c r="J273" s="134"/>
      <c r="K273" s="137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>
      <c r="A274" s="2"/>
      <c r="B274" s="27"/>
      <c r="C274" s="27"/>
      <c r="D274" s="27"/>
      <c r="E274" s="131"/>
      <c r="F274" s="131"/>
      <c r="G274" s="132"/>
      <c r="H274" s="133"/>
      <c r="I274" s="133"/>
      <c r="J274" s="134"/>
      <c r="K274" s="137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>
      <c r="A275" s="2"/>
      <c r="B275" s="27"/>
      <c r="C275" s="27"/>
      <c r="D275" s="27"/>
      <c r="E275" s="131"/>
      <c r="F275" s="131"/>
      <c r="G275" s="132"/>
      <c r="H275" s="133"/>
      <c r="I275" s="133"/>
      <c r="J275" s="134"/>
      <c r="K275" s="137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>
      <c r="A276" s="2"/>
      <c r="B276" s="27"/>
      <c r="C276" s="27"/>
      <c r="D276" s="27"/>
      <c r="E276" s="131"/>
      <c r="F276" s="131"/>
      <c r="G276" s="132"/>
      <c r="H276" s="133"/>
      <c r="I276" s="133"/>
      <c r="J276" s="134"/>
      <c r="K276" s="137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>
      <c r="A277" s="2"/>
      <c r="B277" s="27"/>
      <c r="C277" s="27"/>
      <c r="D277" s="27"/>
      <c r="E277" s="131"/>
      <c r="F277" s="131"/>
      <c r="G277" s="132"/>
      <c r="H277" s="133"/>
      <c r="I277" s="133"/>
      <c r="J277" s="134"/>
      <c r="K277" s="137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>
      <c r="A278" s="2"/>
      <c r="B278" s="27"/>
      <c r="C278" s="27"/>
      <c r="D278" s="27"/>
      <c r="E278" s="131"/>
      <c r="F278" s="131"/>
      <c r="G278" s="132"/>
      <c r="H278" s="133"/>
      <c r="I278" s="133"/>
      <c r="J278" s="132"/>
      <c r="K278" s="137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>
      <c r="A279" s="2"/>
      <c r="B279" s="27"/>
      <c r="C279" s="27"/>
      <c r="D279" s="27"/>
      <c r="E279" s="131"/>
      <c r="F279" s="131"/>
      <c r="G279" s="132"/>
      <c r="H279" s="133"/>
      <c r="I279" s="133"/>
      <c r="J279" s="132"/>
      <c r="K279" s="137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>
      <c r="A280" s="2"/>
      <c r="B280" s="27"/>
      <c r="C280" s="27"/>
      <c r="D280" s="27"/>
      <c r="E280" s="131"/>
      <c r="F280" s="131"/>
      <c r="G280" s="132"/>
      <c r="H280" s="133"/>
      <c r="I280" s="133"/>
      <c r="J280" s="132"/>
      <c r="K280" s="137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>
      <c r="A281" s="2"/>
      <c r="B281" s="27"/>
      <c r="C281" s="27"/>
      <c r="D281" s="27"/>
      <c r="E281" s="131"/>
      <c r="F281" s="131"/>
      <c r="G281" s="132"/>
      <c r="H281" s="133"/>
      <c r="I281" s="133"/>
      <c r="J281" s="132"/>
      <c r="K281" s="137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>
      <c r="A282" s="2"/>
      <c r="B282" s="27"/>
      <c r="C282" s="27"/>
      <c r="D282" s="27"/>
      <c r="E282" s="131"/>
      <c r="F282" s="131"/>
      <c r="G282" s="132"/>
      <c r="H282" s="133"/>
      <c r="I282" s="133"/>
      <c r="J282" s="132"/>
      <c r="K282" s="137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>
      <c r="A283" s="2"/>
      <c r="B283" s="27"/>
      <c r="C283" s="27"/>
      <c r="D283" s="27"/>
      <c r="E283" s="131"/>
      <c r="F283" s="131"/>
      <c r="G283" s="132"/>
      <c r="H283" s="133"/>
      <c r="I283" s="133"/>
      <c r="J283" s="132"/>
      <c r="K283" s="137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>
      <c r="A284" s="2"/>
      <c r="B284" s="27"/>
      <c r="C284" s="27"/>
      <c r="D284" s="27"/>
      <c r="E284" s="131"/>
      <c r="F284" s="131"/>
      <c r="G284" s="132"/>
      <c r="H284" s="133"/>
      <c r="I284" s="133"/>
      <c r="J284" s="132"/>
      <c r="K284" s="137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>
      <c r="A285" s="2"/>
      <c r="B285" s="27"/>
      <c r="C285" s="27"/>
      <c r="D285" s="27"/>
      <c r="E285" s="131"/>
      <c r="F285" s="131"/>
      <c r="G285" s="132"/>
      <c r="H285" s="133"/>
      <c r="I285" s="133"/>
      <c r="J285" s="132"/>
      <c r="K285" s="137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>
      <c r="A286" s="2"/>
      <c r="B286" s="27"/>
      <c r="C286" s="27"/>
      <c r="D286" s="27"/>
      <c r="E286" s="131"/>
      <c r="F286" s="131"/>
      <c r="G286" s="132"/>
      <c r="H286" s="133"/>
      <c r="I286" s="133"/>
      <c r="J286" s="132"/>
      <c r="K286" s="137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>
      <c r="A287" s="2"/>
      <c r="B287" s="27"/>
      <c r="C287" s="27"/>
      <c r="D287" s="27"/>
      <c r="E287" s="131"/>
      <c r="F287" s="131"/>
      <c r="G287" s="132"/>
      <c r="H287" s="133"/>
      <c r="I287" s="133"/>
      <c r="J287" s="132"/>
      <c r="K287" s="137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>
      <c r="A288" s="2"/>
      <c r="B288" s="27"/>
      <c r="C288" s="27"/>
      <c r="D288" s="27"/>
      <c r="E288" s="131"/>
      <c r="F288" s="131"/>
      <c r="G288" s="132"/>
      <c r="H288" s="133"/>
      <c r="I288" s="133"/>
      <c r="J288" s="132"/>
      <c r="K288" s="137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>
      <c r="A289" s="2"/>
      <c r="B289" s="27"/>
      <c r="C289" s="27"/>
      <c r="D289" s="27"/>
      <c r="E289" s="131"/>
      <c r="F289" s="131"/>
      <c r="G289" s="132"/>
      <c r="H289" s="133"/>
      <c r="I289" s="133"/>
      <c r="J289" s="132"/>
      <c r="K289" s="137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>
      <c r="A290" s="2"/>
      <c r="B290" s="27"/>
      <c r="C290" s="27"/>
      <c r="D290" s="27"/>
      <c r="E290" s="131"/>
      <c r="F290" s="131"/>
      <c r="G290" s="132"/>
      <c r="H290" s="133"/>
      <c r="I290" s="133"/>
      <c r="J290" s="132"/>
      <c r="K290" s="137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>
      <c r="A291" s="2"/>
      <c r="B291" s="27"/>
      <c r="C291" s="27"/>
      <c r="D291" s="27"/>
      <c r="E291" s="131"/>
      <c r="F291" s="131"/>
      <c r="G291" s="132"/>
      <c r="H291" s="133"/>
      <c r="I291" s="133"/>
      <c r="J291" s="132"/>
      <c r="K291" s="137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>
      <c r="A292" s="2"/>
      <c r="B292" s="27"/>
      <c r="C292" s="27"/>
      <c r="D292" s="27"/>
      <c r="E292" s="131"/>
      <c r="F292" s="131"/>
      <c r="G292" s="132"/>
      <c r="H292" s="133"/>
      <c r="I292" s="133"/>
      <c r="J292" s="132"/>
      <c r="K292" s="137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>
      <c r="A293" s="2"/>
      <c r="B293" s="27"/>
      <c r="C293" s="27"/>
      <c r="D293" s="27"/>
      <c r="E293" s="131"/>
      <c r="F293" s="131"/>
      <c r="G293" s="132"/>
      <c r="H293" s="133"/>
      <c r="I293" s="133"/>
      <c r="J293" s="132"/>
      <c r="K293" s="137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>
      <c r="A294" s="2"/>
      <c r="B294" s="27"/>
      <c r="C294" s="27"/>
      <c r="D294" s="27"/>
      <c r="E294" s="131"/>
      <c r="F294" s="131"/>
      <c r="G294" s="132"/>
      <c r="H294" s="133"/>
      <c r="I294" s="133"/>
      <c r="J294" s="132"/>
      <c r="K294" s="137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>
      <c r="A295" s="2"/>
      <c r="B295" s="27"/>
      <c r="C295" s="27"/>
      <c r="D295" s="27"/>
      <c r="E295" s="131"/>
      <c r="F295" s="131"/>
      <c r="G295" s="132"/>
      <c r="H295" s="133"/>
      <c r="I295" s="133"/>
      <c r="J295" s="132"/>
      <c r="K295" s="137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>
      <c r="A296" s="2"/>
      <c r="B296" s="27"/>
      <c r="C296" s="27"/>
      <c r="D296" s="27"/>
      <c r="E296" s="131"/>
      <c r="F296" s="131"/>
      <c r="G296" s="132"/>
      <c r="H296" s="133"/>
      <c r="I296" s="133"/>
      <c r="J296" s="132"/>
      <c r="K296" s="137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>
      <c r="A297" s="2"/>
      <c r="B297" s="27"/>
      <c r="C297" s="27"/>
      <c r="D297" s="27"/>
      <c r="E297" s="131"/>
      <c r="F297" s="131"/>
      <c r="G297" s="132"/>
      <c r="H297" s="133"/>
      <c r="I297" s="133"/>
      <c r="J297" s="132"/>
      <c r="K297" s="137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>
      <c r="A298" s="2"/>
      <c r="B298" s="27"/>
      <c r="C298" s="27"/>
      <c r="D298" s="27"/>
      <c r="E298" s="131"/>
      <c r="F298" s="131"/>
      <c r="G298" s="132"/>
      <c r="H298" s="133"/>
      <c r="I298" s="133"/>
      <c r="J298" s="132"/>
      <c r="K298" s="137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>
      <c r="A299" s="2"/>
      <c r="B299" s="27"/>
      <c r="C299" s="27"/>
      <c r="D299" s="27"/>
      <c r="E299" s="131"/>
      <c r="F299" s="131"/>
      <c r="G299" s="132"/>
      <c r="H299" s="133"/>
      <c r="I299" s="133"/>
      <c r="J299" s="132"/>
      <c r="K299" s="137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>
      <c r="A300" s="2"/>
      <c r="B300" s="27"/>
      <c r="C300" s="27"/>
      <c r="D300" s="27"/>
      <c r="E300" s="131"/>
      <c r="F300" s="131"/>
      <c r="G300" s="132"/>
      <c r="H300" s="133"/>
      <c r="I300" s="133"/>
      <c r="J300" s="132"/>
      <c r="K300" s="137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>
      <c r="A301" s="2"/>
      <c r="B301" s="27"/>
      <c r="C301" s="27"/>
      <c r="D301" s="27"/>
      <c r="E301" s="131"/>
      <c r="F301" s="131"/>
      <c r="G301" s="132"/>
      <c r="H301" s="133"/>
      <c r="I301" s="133"/>
      <c r="J301" s="132"/>
      <c r="K301" s="137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>
      <c r="A302" s="2"/>
      <c r="B302" s="27"/>
      <c r="C302" s="27"/>
      <c r="D302" s="27"/>
      <c r="E302" s="131"/>
      <c r="F302" s="131"/>
      <c r="G302" s="132"/>
      <c r="H302" s="133"/>
      <c r="I302" s="133"/>
      <c r="J302" s="132"/>
      <c r="K302" s="137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>
      <c r="A303" s="2"/>
      <c r="B303" s="27"/>
      <c r="C303" s="27"/>
      <c r="D303" s="27"/>
      <c r="E303" s="131"/>
      <c r="F303" s="131"/>
      <c r="G303" s="132"/>
      <c r="H303" s="133"/>
      <c r="I303" s="133"/>
      <c r="J303" s="132"/>
      <c r="K303" s="137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>
      <c r="A304" s="2"/>
      <c r="B304" s="27"/>
      <c r="C304" s="27"/>
      <c r="D304" s="27"/>
      <c r="E304" s="131"/>
      <c r="F304" s="131"/>
      <c r="G304" s="132"/>
      <c r="H304" s="133"/>
      <c r="I304" s="133"/>
      <c r="J304" s="132"/>
      <c r="K304" s="137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>
      <c r="A305" s="2"/>
      <c r="B305" s="27"/>
      <c r="C305" s="27"/>
      <c r="D305" s="27"/>
      <c r="E305" s="131"/>
      <c r="F305" s="131"/>
      <c r="G305" s="132"/>
      <c r="H305" s="133"/>
      <c r="I305" s="133"/>
      <c r="J305" s="132"/>
      <c r="K305" s="137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>
      <c r="A306" s="2"/>
      <c r="B306" s="27"/>
      <c r="C306" s="27"/>
      <c r="D306" s="27"/>
      <c r="E306" s="131"/>
      <c r="F306" s="131"/>
      <c r="G306" s="132"/>
      <c r="H306" s="133"/>
      <c r="I306" s="133"/>
      <c r="J306" s="132"/>
      <c r="K306" s="137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>
      <c r="A307" s="2"/>
      <c r="B307" s="27"/>
      <c r="C307" s="27"/>
      <c r="D307" s="27"/>
      <c r="E307" s="131"/>
      <c r="F307" s="131"/>
      <c r="G307" s="132"/>
      <c r="H307" s="133"/>
      <c r="I307" s="133"/>
      <c r="J307" s="132"/>
      <c r="K307" s="137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>
      <c r="A308" s="2"/>
      <c r="B308" s="27"/>
      <c r="C308" s="27"/>
      <c r="D308" s="27"/>
      <c r="E308" s="131"/>
      <c r="F308" s="131"/>
      <c r="G308" s="132"/>
      <c r="H308" s="133"/>
      <c r="I308" s="133"/>
      <c r="J308" s="132"/>
      <c r="K308" s="137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>
      <c r="A309" s="2"/>
      <c r="B309" s="27"/>
      <c r="C309" s="27"/>
      <c r="D309" s="27"/>
      <c r="E309" s="131"/>
      <c r="F309" s="131"/>
      <c r="G309" s="132"/>
      <c r="H309" s="133"/>
      <c r="I309" s="133"/>
      <c r="J309" s="132"/>
      <c r="K309" s="137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>
      <c r="A310" s="2"/>
      <c r="B310" s="27"/>
      <c r="C310" s="27"/>
      <c r="D310" s="27"/>
      <c r="E310" s="131"/>
      <c r="F310" s="131"/>
      <c r="G310" s="132"/>
      <c r="H310" s="133"/>
      <c r="I310" s="133"/>
      <c r="J310" s="132"/>
      <c r="K310" s="137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>
      <c r="A311" s="2"/>
      <c r="B311" s="27"/>
      <c r="C311" s="27"/>
      <c r="D311" s="27"/>
      <c r="E311" s="131"/>
      <c r="F311" s="131"/>
      <c r="G311" s="132"/>
      <c r="H311" s="133"/>
      <c r="I311" s="133"/>
      <c r="J311" s="132"/>
      <c r="K311" s="137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>
      <c r="A312" s="2"/>
      <c r="B312" s="27"/>
      <c r="C312" s="27"/>
      <c r="D312" s="27"/>
      <c r="E312" s="131"/>
      <c r="F312" s="131"/>
      <c r="G312" s="132"/>
      <c r="H312" s="133"/>
      <c r="I312" s="133"/>
      <c r="J312" s="132"/>
      <c r="K312" s="137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>
      <c r="A313" s="2"/>
      <c r="B313" s="27"/>
      <c r="C313" s="27"/>
      <c r="D313" s="27"/>
      <c r="E313" s="131"/>
      <c r="F313" s="131"/>
      <c r="G313" s="132"/>
      <c r="H313" s="133"/>
      <c r="I313" s="133"/>
      <c r="J313" s="132"/>
      <c r="K313" s="137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>
      <c r="A314" s="2"/>
      <c r="B314" s="27"/>
      <c r="C314" s="27"/>
      <c r="D314" s="27"/>
      <c r="E314" s="131"/>
      <c r="F314" s="131"/>
      <c r="G314" s="132"/>
      <c r="H314" s="133"/>
      <c r="I314" s="133"/>
      <c r="J314" s="132"/>
      <c r="K314" s="137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>
      <c r="A315" s="2"/>
      <c r="B315" s="27"/>
      <c r="C315" s="27"/>
      <c r="D315" s="27"/>
      <c r="E315" s="131"/>
      <c r="F315" s="131"/>
      <c r="G315" s="132"/>
      <c r="H315" s="133"/>
      <c r="I315" s="133"/>
      <c r="J315" s="132"/>
      <c r="K315" s="137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>
      <c r="A316" s="2"/>
      <c r="B316" s="27"/>
      <c r="C316" s="27"/>
      <c r="D316" s="27"/>
      <c r="E316" s="131"/>
      <c r="F316" s="131"/>
      <c r="G316" s="132"/>
      <c r="H316" s="133"/>
      <c r="I316" s="133"/>
      <c r="J316" s="132"/>
      <c r="K316" s="137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>
      <c r="A317" s="2"/>
      <c r="B317" s="27"/>
      <c r="C317" s="27"/>
      <c r="D317" s="27"/>
      <c r="E317" s="131"/>
      <c r="F317" s="131"/>
      <c r="G317" s="132"/>
      <c r="H317" s="133"/>
      <c r="I317" s="133"/>
      <c r="J317" s="132"/>
      <c r="K317" s="137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>
      <c r="A318" s="2"/>
      <c r="B318" s="27"/>
      <c r="C318" s="27"/>
      <c r="D318" s="27"/>
      <c r="E318" s="131"/>
      <c r="F318" s="131"/>
      <c r="G318" s="132"/>
      <c r="H318" s="133"/>
      <c r="I318" s="133"/>
      <c r="J318" s="132"/>
      <c r="K318" s="137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>
      <c r="A319" s="2"/>
      <c r="B319" s="27"/>
      <c r="C319" s="27"/>
      <c r="D319" s="27"/>
      <c r="E319" s="131"/>
      <c r="F319" s="131"/>
      <c r="G319" s="132"/>
      <c r="H319" s="133"/>
      <c r="I319" s="133"/>
      <c r="J319" s="132"/>
      <c r="K319" s="137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>
      <c r="A320" s="2"/>
      <c r="B320" s="27"/>
      <c r="C320" s="27"/>
      <c r="D320" s="27"/>
      <c r="E320" s="131"/>
      <c r="F320" s="131"/>
      <c r="G320" s="132"/>
      <c r="H320" s="133"/>
      <c r="I320" s="133"/>
      <c r="J320" s="132"/>
      <c r="K320" s="137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>
      <c r="A321" s="2"/>
      <c r="B321" s="27"/>
      <c r="C321" s="27"/>
      <c r="D321" s="27"/>
      <c r="E321" s="131"/>
      <c r="F321" s="131"/>
      <c r="G321" s="132"/>
      <c r="H321" s="133"/>
      <c r="I321" s="133"/>
      <c r="J321" s="132"/>
      <c r="K321" s="137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>
      <c r="A322" s="2"/>
      <c r="B322" s="27"/>
      <c r="C322" s="27"/>
      <c r="D322" s="27"/>
      <c r="E322" s="131"/>
      <c r="F322" s="131"/>
      <c r="G322" s="132"/>
      <c r="H322" s="133"/>
      <c r="I322" s="133"/>
      <c r="J322" s="132"/>
      <c r="K322" s="137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>
      <c r="A323" s="2"/>
      <c r="B323" s="27"/>
      <c r="C323" s="27"/>
      <c r="D323" s="27"/>
      <c r="E323" s="131"/>
      <c r="F323" s="131"/>
      <c r="G323" s="132"/>
      <c r="H323" s="133"/>
      <c r="I323" s="133"/>
      <c r="J323" s="132"/>
      <c r="K323" s="137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>
      <c r="A324" s="2"/>
      <c r="B324" s="27"/>
      <c r="C324" s="27"/>
      <c r="D324" s="27"/>
      <c r="E324" s="131"/>
      <c r="F324" s="131"/>
      <c r="G324" s="132"/>
      <c r="H324" s="133"/>
      <c r="I324" s="133"/>
      <c r="J324" s="132"/>
      <c r="K324" s="137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>
      <c r="A325" s="2"/>
      <c r="B325" s="27"/>
      <c r="C325" s="27"/>
      <c r="D325" s="27"/>
      <c r="E325" s="131"/>
      <c r="F325" s="131"/>
      <c r="G325" s="132"/>
      <c r="H325" s="133"/>
      <c r="I325" s="133"/>
      <c r="J325" s="132"/>
      <c r="K325" s="137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>
      <c r="A326" s="2"/>
      <c r="B326" s="27"/>
      <c r="C326" s="27"/>
      <c r="D326" s="27"/>
      <c r="E326" s="131"/>
      <c r="F326" s="131"/>
      <c r="G326" s="132"/>
      <c r="H326" s="133"/>
      <c r="I326" s="133"/>
      <c r="J326" s="132"/>
      <c r="K326" s="137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>
      <c r="A327" s="2"/>
      <c r="B327" s="27"/>
      <c r="C327" s="27"/>
      <c r="D327" s="27"/>
      <c r="E327" s="131"/>
      <c r="F327" s="131"/>
      <c r="G327" s="132"/>
      <c r="H327" s="133"/>
      <c r="I327" s="133"/>
      <c r="J327" s="132"/>
      <c r="K327" s="137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>
      <c r="A328" s="2"/>
      <c r="B328" s="27"/>
      <c r="C328" s="27"/>
      <c r="D328" s="27"/>
      <c r="E328" s="131"/>
      <c r="F328" s="131"/>
      <c r="G328" s="132"/>
      <c r="H328" s="133"/>
      <c r="I328" s="133"/>
      <c r="J328" s="132"/>
      <c r="K328" s="137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>
      <c r="A329" s="2"/>
      <c r="B329" s="27"/>
      <c r="C329" s="27"/>
      <c r="D329" s="27"/>
      <c r="E329" s="131"/>
      <c r="F329" s="131"/>
      <c r="G329" s="132"/>
      <c r="H329" s="133"/>
      <c r="I329" s="133"/>
      <c r="J329" s="132"/>
      <c r="K329" s="137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>
      <c r="A330" s="2"/>
      <c r="B330" s="27"/>
      <c r="C330" s="27"/>
      <c r="D330" s="27"/>
      <c r="E330" s="131"/>
      <c r="F330" s="131"/>
      <c r="G330" s="132"/>
      <c r="H330" s="133"/>
      <c r="I330" s="133"/>
      <c r="J330" s="132"/>
      <c r="K330" s="137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>
      <c r="A331" s="2"/>
      <c r="B331" s="27"/>
      <c r="C331" s="27"/>
      <c r="D331" s="27"/>
      <c r="E331" s="131"/>
      <c r="F331" s="131"/>
      <c r="G331" s="132"/>
      <c r="H331" s="133"/>
      <c r="I331" s="133"/>
      <c r="J331" s="132"/>
      <c r="K331" s="137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>
      <c r="A332" s="2"/>
      <c r="B332" s="27"/>
      <c r="C332" s="27"/>
      <c r="D332" s="27"/>
      <c r="E332" s="131"/>
      <c r="F332" s="131"/>
      <c r="G332" s="132"/>
      <c r="H332" s="133"/>
      <c r="I332" s="133"/>
      <c r="J332" s="132"/>
      <c r="K332" s="137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>
      <c r="A333" s="2"/>
      <c r="B333" s="27"/>
      <c r="C333" s="27"/>
      <c r="D333" s="27"/>
      <c r="E333" s="131"/>
      <c r="F333" s="131"/>
      <c r="G333" s="132"/>
      <c r="H333" s="133"/>
      <c r="I333" s="133"/>
      <c r="J333" s="132"/>
      <c r="K333" s="137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>
      <c r="A334" s="2"/>
      <c r="B334" s="27"/>
      <c r="C334" s="27"/>
      <c r="D334" s="27"/>
      <c r="E334" s="131"/>
      <c r="F334" s="131"/>
      <c r="G334" s="132"/>
      <c r="H334" s="133"/>
      <c r="I334" s="133"/>
      <c r="J334" s="132"/>
      <c r="K334" s="137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>
      <c r="A335" s="2"/>
      <c r="B335" s="27"/>
      <c r="C335" s="27"/>
      <c r="D335" s="27"/>
      <c r="E335" s="131"/>
      <c r="F335" s="131"/>
      <c r="G335" s="132"/>
      <c r="H335" s="133"/>
      <c r="I335" s="133"/>
      <c r="J335" s="132"/>
      <c r="K335" s="137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>
      <c r="A336" s="2"/>
      <c r="B336" s="27"/>
      <c r="C336" s="27"/>
      <c r="D336" s="27"/>
      <c r="E336" s="131"/>
      <c r="F336" s="131"/>
      <c r="G336" s="132"/>
      <c r="H336" s="133"/>
      <c r="I336" s="133"/>
      <c r="J336" s="132"/>
      <c r="K336" s="137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>
      <c r="A337" s="2"/>
      <c r="B337" s="27"/>
      <c r="C337" s="27"/>
      <c r="D337" s="27"/>
      <c r="E337" s="131"/>
      <c r="F337" s="131"/>
      <c r="G337" s="132"/>
      <c r="H337" s="133"/>
      <c r="I337" s="133"/>
      <c r="J337" s="132"/>
      <c r="K337" s="137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>
      <c r="A338" s="2"/>
      <c r="B338" s="27"/>
      <c r="C338" s="27"/>
      <c r="D338" s="27"/>
      <c r="E338" s="131"/>
      <c r="F338" s="131"/>
      <c r="G338" s="132"/>
      <c r="H338" s="133"/>
      <c r="I338" s="133"/>
      <c r="J338" s="132"/>
      <c r="K338" s="137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>
      <c r="A339" s="2"/>
      <c r="B339" s="27"/>
      <c r="C339" s="27"/>
      <c r="D339" s="27"/>
      <c r="E339" s="131"/>
      <c r="F339" s="131"/>
      <c r="G339" s="132"/>
      <c r="H339" s="133"/>
      <c r="I339" s="133"/>
      <c r="J339" s="132"/>
      <c r="K339" s="137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>
      <c r="A340" s="2"/>
      <c r="B340" s="27"/>
      <c r="C340" s="27"/>
      <c r="D340" s="27"/>
      <c r="E340" s="131"/>
      <c r="F340" s="131"/>
      <c r="G340" s="132"/>
      <c r="H340" s="133"/>
      <c r="I340" s="133"/>
      <c r="J340" s="132"/>
      <c r="K340" s="137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>
      <c r="A341" s="2"/>
      <c r="B341" s="27"/>
      <c r="C341" s="27"/>
      <c r="D341" s="27"/>
      <c r="E341" s="131"/>
      <c r="F341" s="131"/>
      <c r="G341" s="132"/>
      <c r="H341" s="133"/>
      <c r="I341" s="133"/>
      <c r="J341" s="132"/>
      <c r="K341" s="137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>
      <c r="A342" s="2"/>
      <c r="B342" s="27"/>
      <c r="C342" s="27"/>
      <c r="D342" s="27"/>
      <c r="E342" s="131"/>
      <c r="F342" s="131"/>
      <c r="G342" s="132"/>
      <c r="H342" s="133"/>
      <c r="I342" s="133"/>
      <c r="J342" s="132"/>
      <c r="K342" s="137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>
      <c r="A343" s="2"/>
      <c r="B343" s="27"/>
      <c r="C343" s="27"/>
      <c r="D343" s="27"/>
      <c r="E343" s="131"/>
      <c r="F343" s="131"/>
      <c r="G343" s="132"/>
      <c r="H343" s="133"/>
      <c r="I343" s="133"/>
      <c r="J343" s="132"/>
      <c r="K343" s="137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>
      <c r="A344" s="2"/>
      <c r="B344" s="27"/>
      <c r="C344" s="27"/>
      <c r="D344" s="27"/>
      <c r="E344" s="131"/>
      <c r="F344" s="131"/>
      <c r="G344" s="132"/>
      <c r="H344" s="133"/>
      <c r="I344" s="133"/>
      <c r="J344" s="132"/>
      <c r="K344" s="137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>
      <c r="A345" s="2"/>
      <c r="B345" s="27"/>
      <c r="C345" s="27"/>
      <c r="D345" s="27"/>
      <c r="E345" s="131"/>
      <c r="F345" s="131"/>
      <c r="G345" s="132"/>
      <c r="H345" s="133"/>
      <c r="I345" s="133"/>
      <c r="J345" s="132"/>
      <c r="K345" s="137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>
      <c r="A346" s="2"/>
      <c r="B346" s="27"/>
      <c r="C346" s="27"/>
      <c r="D346" s="27"/>
      <c r="E346" s="131"/>
      <c r="F346" s="131"/>
      <c r="G346" s="132"/>
      <c r="H346" s="133"/>
      <c r="I346" s="133"/>
      <c r="J346" s="132"/>
      <c r="K346" s="137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>
      <c r="A347" s="2"/>
      <c r="B347" s="27"/>
      <c r="C347" s="27"/>
      <c r="D347" s="27"/>
      <c r="E347" s="131"/>
      <c r="F347" s="131"/>
      <c r="G347" s="132"/>
      <c r="H347" s="133"/>
      <c r="I347" s="133"/>
      <c r="J347" s="132"/>
      <c r="K347" s="137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>
      <c r="A348" s="2"/>
      <c r="B348" s="27"/>
      <c r="C348" s="27"/>
      <c r="D348" s="27"/>
      <c r="E348" s="131"/>
      <c r="F348" s="131"/>
      <c r="G348" s="132"/>
      <c r="H348" s="133"/>
      <c r="I348" s="133"/>
      <c r="J348" s="132"/>
      <c r="K348" s="137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>
      <c r="A349" s="2"/>
      <c r="B349" s="27"/>
      <c r="C349" s="27"/>
      <c r="D349" s="27"/>
      <c r="E349" s="131"/>
      <c r="F349" s="131"/>
      <c r="G349" s="132"/>
      <c r="H349" s="133"/>
      <c r="I349" s="133"/>
      <c r="J349" s="132"/>
      <c r="K349" s="137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>
      <c r="A350" s="2"/>
      <c r="B350" s="27"/>
      <c r="C350" s="27"/>
      <c r="D350" s="27"/>
      <c r="E350" s="131"/>
      <c r="F350" s="131"/>
      <c r="G350" s="132"/>
      <c r="H350" s="133"/>
      <c r="I350" s="133"/>
      <c r="J350" s="132"/>
      <c r="K350" s="137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>
      <c r="A351" s="2"/>
      <c r="B351" s="27"/>
      <c r="C351" s="27"/>
      <c r="D351" s="27"/>
      <c r="E351" s="131"/>
      <c r="F351" s="131"/>
      <c r="G351" s="132"/>
      <c r="H351" s="133"/>
      <c r="I351" s="133"/>
      <c r="J351" s="132"/>
      <c r="K351" s="137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>
      <c r="A352" s="2"/>
      <c r="B352" s="27"/>
      <c r="C352" s="27"/>
      <c r="D352" s="27"/>
      <c r="E352" s="131"/>
      <c r="F352" s="131"/>
      <c r="G352" s="132"/>
      <c r="H352" s="133"/>
      <c r="I352" s="133"/>
      <c r="J352" s="132"/>
      <c r="K352" s="137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>
      <c r="A353" s="2"/>
      <c r="B353" s="27"/>
      <c r="C353" s="27"/>
      <c r="D353" s="27"/>
      <c r="E353" s="131"/>
      <c r="F353" s="131"/>
      <c r="G353" s="132"/>
      <c r="H353" s="133"/>
      <c r="I353" s="133"/>
      <c r="J353" s="132"/>
      <c r="K353" s="137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>
      <c r="A354" s="2"/>
      <c r="B354" s="27"/>
      <c r="C354" s="27"/>
      <c r="D354" s="27"/>
      <c r="E354" s="131"/>
      <c r="F354" s="131"/>
      <c r="G354" s="132"/>
      <c r="H354" s="133"/>
      <c r="I354" s="133"/>
      <c r="J354" s="132"/>
      <c r="K354" s="137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>
      <c r="A355" s="2"/>
      <c r="B355" s="27"/>
      <c r="C355" s="27"/>
      <c r="D355" s="27"/>
      <c r="E355" s="131"/>
      <c r="F355" s="131"/>
      <c r="G355" s="132"/>
      <c r="H355" s="133"/>
      <c r="I355" s="133"/>
      <c r="J355" s="132"/>
      <c r="K355" s="137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>
      <c r="A356" s="2"/>
      <c r="B356" s="27"/>
      <c r="C356" s="27"/>
      <c r="D356" s="27"/>
      <c r="E356" s="131"/>
      <c r="F356" s="131"/>
      <c r="G356" s="132"/>
      <c r="H356" s="133"/>
      <c r="I356" s="133"/>
      <c r="J356" s="132"/>
      <c r="K356" s="137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>
      <c r="A357" s="2"/>
      <c r="B357" s="27"/>
      <c r="C357" s="27"/>
      <c r="D357" s="27"/>
      <c r="E357" s="131"/>
      <c r="F357" s="131"/>
      <c r="G357" s="132"/>
      <c r="H357" s="133"/>
      <c r="I357" s="133"/>
      <c r="J357" s="132"/>
      <c r="K357" s="137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>
      <c r="A358" s="2"/>
      <c r="B358" s="27"/>
      <c r="C358" s="27"/>
      <c r="D358" s="27"/>
      <c r="E358" s="131"/>
      <c r="F358" s="131"/>
      <c r="G358" s="132"/>
      <c r="H358" s="133"/>
      <c r="I358" s="133"/>
      <c r="J358" s="132"/>
      <c r="K358" s="137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>
      <c r="A359" s="2"/>
      <c r="B359" s="27"/>
      <c r="C359" s="27"/>
      <c r="D359" s="27"/>
      <c r="E359" s="131"/>
      <c r="F359" s="131"/>
      <c r="G359" s="132"/>
      <c r="H359" s="133"/>
      <c r="I359" s="133"/>
      <c r="J359" s="132"/>
      <c r="K359" s="137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>
      <c r="A360" s="2"/>
      <c r="B360" s="27"/>
      <c r="C360" s="27"/>
      <c r="D360" s="27"/>
      <c r="E360" s="131"/>
      <c r="F360" s="131"/>
      <c r="G360" s="132"/>
      <c r="H360" s="133"/>
      <c r="I360" s="133"/>
      <c r="J360" s="132"/>
      <c r="K360" s="137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>
      <c r="A361" s="2"/>
      <c r="B361" s="27"/>
      <c r="C361" s="27"/>
      <c r="D361" s="27"/>
      <c r="E361" s="131"/>
      <c r="F361" s="131"/>
      <c r="G361" s="132"/>
      <c r="H361" s="133"/>
      <c r="I361" s="133"/>
      <c r="J361" s="132"/>
      <c r="K361" s="137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>
      <c r="A362" s="2"/>
      <c r="B362" s="27"/>
      <c r="C362" s="27"/>
      <c r="D362" s="27"/>
      <c r="E362" s="131"/>
      <c r="F362" s="131"/>
      <c r="G362" s="132"/>
      <c r="H362" s="133"/>
      <c r="I362" s="133"/>
      <c r="J362" s="132"/>
      <c r="K362" s="137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>
      <c r="A363" s="2"/>
      <c r="B363" s="27"/>
      <c r="C363" s="27"/>
      <c r="D363" s="27"/>
      <c r="E363" s="131"/>
      <c r="F363" s="131"/>
      <c r="G363" s="132"/>
      <c r="H363" s="133"/>
      <c r="I363" s="133"/>
      <c r="J363" s="132"/>
      <c r="K363" s="137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>
      <c r="A364" s="2"/>
      <c r="B364" s="27"/>
      <c r="C364" s="27"/>
      <c r="D364" s="27"/>
      <c r="E364" s="131"/>
      <c r="F364" s="131"/>
      <c r="G364" s="132"/>
      <c r="H364" s="133"/>
      <c r="I364" s="133"/>
      <c r="J364" s="132"/>
      <c r="K364" s="137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>
      <c r="A365" s="2"/>
      <c r="B365" s="27"/>
      <c r="C365" s="27"/>
      <c r="D365" s="27"/>
      <c r="E365" s="131"/>
      <c r="F365" s="131"/>
      <c r="G365" s="132"/>
      <c r="H365" s="133"/>
      <c r="I365" s="133"/>
      <c r="J365" s="132"/>
      <c r="K365" s="137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>
      <c r="A366" s="2"/>
      <c r="B366" s="27"/>
      <c r="C366" s="27"/>
      <c r="D366" s="27"/>
      <c r="E366" s="131"/>
      <c r="F366" s="131"/>
      <c r="G366" s="132"/>
      <c r="H366" s="133"/>
      <c r="I366" s="133"/>
      <c r="J366" s="132"/>
      <c r="K366" s="137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>
      <c r="A367" s="2"/>
      <c r="B367" s="27"/>
      <c r="C367" s="27"/>
      <c r="D367" s="27"/>
      <c r="E367" s="131"/>
      <c r="F367" s="131"/>
      <c r="G367" s="132"/>
      <c r="H367" s="133"/>
      <c r="I367" s="133"/>
      <c r="J367" s="132"/>
      <c r="K367" s="137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>
      <c r="A368" s="2"/>
      <c r="B368" s="27"/>
      <c r="C368" s="27"/>
      <c r="D368" s="27"/>
      <c r="E368" s="131"/>
      <c r="F368" s="131"/>
      <c r="G368" s="132"/>
      <c r="H368" s="133"/>
      <c r="I368" s="133"/>
      <c r="J368" s="132"/>
      <c r="K368" s="137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>
      <c r="A369" s="2"/>
      <c r="B369" s="27"/>
      <c r="C369" s="27"/>
      <c r="D369" s="27"/>
      <c r="E369" s="131"/>
      <c r="F369" s="131"/>
      <c r="G369" s="132"/>
      <c r="H369" s="133"/>
      <c r="I369" s="133"/>
      <c r="J369" s="132"/>
      <c r="K369" s="137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>
      <c r="A370" s="2"/>
      <c r="B370" s="27"/>
      <c r="C370" s="27"/>
      <c r="D370" s="27"/>
      <c r="E370" s="131"/>
      <c r="F370" s="131"/>
      <c r="G370" s="132"/>
      <c r="H370" s="133"/>
      <c r="I370" s="133"/>
      <c r="J370" s="132"/>
      <c r="K370" s="137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>
      <c r="A371" s="2"/>
      <c r="B371" s="27"/>
      <c r="C371" s="27"/>
      <c r="D371" s="27"/>
      <c r="E371" s="131"/>
      <c r="F371" s="131"/>
      <c r="G371" s="132"/>
      <c r="H371" s="133"/>
      <c r="I371" s="133"/>
      <c r="J371" s="132"/>
      <c r="K371" s="137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>
      <c r="A372" s="2"/>
      <c r="B372" s="27"/>
      <c r="C372" s="27"/>
      <c r="D372" s="27"/>
      <c r="E372" s="131"/>
      <c r="F372" s="131"/>
      <c r="G372" s="132"/>
      <c r="H372" s="133"/>
      <c r="I372" s="133"/>
      <c r="J372" s="132"/>
      <c r="K372" s="137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>
      <c r="A373" s="2"/>
      <c r="B373" s="27"/>
      <c r="C373" s="27"/>
      <c r="D373" s="27"/>
      <c r="E373" s="131"/>
      <c r="F373" s="131"/>
      <c r="G373" s="132"/>
      <c r="H373" s="133"/>
      <c r="I373" s="133"/>
      <c r="J373" s="132"/>
      <c r="K373" s="137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>
      <c r="A374" s="2"/>
      <c r="B374" s="27"/>
      <c r="C374" s="27"/>
      <c r="D374" s="27"/>
      <c r="E374" s="131"/>
      <c r="F374" s="131"/>
      <c r="G374" s="132"/>
      <c r="H374" s="133"/>
      <c r="I374" s="133"/>
      <c r="J374" s="132"/>
      <c r="K374" s="137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>
      <c r="A375" s="2"/>
      <c r="B375" s="27"/>
      <c r="C375" s="27"/>
      <c r="D375" s="27"/>
      <c r="E375" s="131"/>
      <c r="F375" s="131"/>
      <c r="G375" s="132"/>
      <c r="H375" s="133"/>
      <c r="I375" s="133"/>
      <c r="J375" s="132"/>
      <c r="K375" s="137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>
      <c r="A376" s="2"/>
      <c r="B376" s="27"/>
      <c r="C376" s="27"/>
      <c r="D376" s="27"/>
      <c r="E376" s="131"/>
      <c r="F376" s="131"/>
      <c r="G376" s="132"/>
      <c r="H376" s="133"/>
      <c r="I376" s="133"/>
      <c r="J376" s="132"/>
      <c r="K376" s="137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>
      <c r="A377" s="2"/>
      <c r="B377" s="27"/>
      <c r="C377" s="27"/>
      <c r="D377" s="27"/>
      <c r="E377" s="131"/>
      <c r="F377" s="131"/>
      <c r="G377" s="132"/>
      <c r="H377" s="133"/>
      <c r="I377" s="133"/>
      <c r="J377" s="132"/>
      <c r="K377" s="137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>
      <c r="A378" s="2"/>
      <c r="B378" s="27"/>
      <c r="C378" s="27"/>
      <c r="D378" s="27"/>
      <c r="E378" s="131"/>
      <c r="F378" s="131"/>
      <c r="G378" s="132"/>
      <c r="H378" s="133"/>
      <c r="I378" s="133"/>
      <c r="J378" s="132"/>
      <c r="K378" s="137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>
      <c r="A379" s="2"/>
      <c r="B379" s="27"/>
      <c r="C379" s="27"/>
      <c r="D379" s="27"/>
      <c r="E379" s="131"/>
      <c r="F379" s="131"/>
      <c r="G379" s="132"/>
      <c r="H379" s="133"/>
      <c r="I379" s="133"/>
      <c r="J379" s="132"/>
      <c r="K379" s="137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>
      <c r="A380" s="2"/>
      <c r="B380" s="27"/>
      <c r="C380" s="27"/>
      <c r="D380" s="27"/>
      <c r="E380" s="131"/>
      <c r="F380" s="131"/>
      <c r="G380" s="132"/>
      <c r="H380" s="133"/>
      <c r="I380" s="133"/>
      <c r="J380" s="132"/>
      <c r="K380" s="137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>
      <c r="A381" s="2"/>
      <c r="B381" s="27"/>
      <c r="C381" s="27"/>
      <c r="D381" s="27"/>
      <c r="E381" s="131"/>
      <c r="F381" s="131"/>
      <c r="G381" s="132"/>
      <c r="H381" s="133"/>
      <c r="I381" s="133"/>
      <c r="J381" s="132"/>
      <c r="K381" s="137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>
      <c r="A382" s="2"/>
      <c r="B382" s="27"/>
      <c r="C382" s="27"/>
      <c r="D382" s="27"/>
      <c r="E382" s="131"/>
      <c r="F382" s="131"/>
      <c r="G382" s="132"/>
      <c r="H382" s="133"/>
      <c r="I382" s="133"/>
      <c r="J382" s="132"/>
      <c r="K382" s="137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>
      <c r="A383" s="2"/>
      <c r="B383" s="27"/>
      <c r="C383" s="27"/>
      <c r="D383" s="27"/>
      <c r="E383" s="131"/>
      <c r="F383" s="131"/>
      <c r="G383" s="132"/>
      <c r="H383" s="133"/>
      <c r="I383" s="133"/>
      <c r="J383" s="132"/>
      <c r="K383" s="137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>
      <c r="A384" s="2"/>
      <c r="B384" s="27"/>
      <c r="C384" s="27"/>
      <c r="D384" s="27"/>
      <c r="E384" s="131"/>
      <c r="F384" s="131"/>
      <c r="G384" s="132"/>
      <c r="H384" s="133"/>
      <c r="I384" s="133"/>
      <c r="J384" s="132"/>
      <c r="K384" s="137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>
      <c r="A385" s="2"/>
      <c r="B385" s="27"/>
      <c r="C385" s="27"/>
      <c r="D385" s="27"/>
      <c r="E385" s="131"/>
      <c r="F385" s="131"/>
      <c r="G385" s="132"/>
      <c r="H385" s="133"/>
      <c r="I385" s="133"/>
      <c r="J385" s="132"/>
      <c r="K385" s="137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>
      <c r="A386" s="2"/>
      <c r="B386" s="27"/>
      <c r="C386" s="27"/>
      <c r="D386" s="27"/>
      <c r="E386" s="131"/>
      <c r="F386" s="131"/>
      <c r="G386" s="132"/>
      <c r="H386" s="133"/>
      <c r="I386" s="133"/>
      <c r="J386" s="132"/>
      <c r="K386" s="137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>
      <c r="A387" s="2"/>
      <c r="B387" s="27"/>
      <c r="C387" s="27"/>
      <c r="D387" s="27"/>
      <c r="E387" s="131"/>
      <c r="F387" s="131"/>
      <c r="G387" s="132"/>
      <c r="H387" s="133"/>
      <c r="I387" s="133"/>
      <c r="J387" s="132"/>
      <c r="K387" s="137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>
      <c r="A388" s="2"/>
      <c r="B388" s="27"/>
      <c r="C388" s="27"/>
      <c r="D388" s="27"/>
      <c r="E388" s="131"/>
      <c r="F388" s="131"/>
      <c r="G388" s="132"/>
      <c r="H388" s="133"/>
      <c r="I388" s="133"/>
      <c r="J388" s="132"/>
      <c r="K388" s="137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>
      <c r="A389" s="2"/>
      <c r="B389" s="27"/>
      <c r="C389" s="27"/>
      <c r="D389" s="27"/>
      <c r="E389" s="131"/>
      <c r="F389" s="131"/>
      <c r="G389" s="132"/>
      <c r="H389" s="133"/>
      <c r="I389" s="133"/>
      <c r="J389" s="132"/>
      <c r="K389" s="137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>
      <c r="A390" s="2"/>
      <c r="B390" s="27"/>
      <c r="C390" s="27"/>
      <c r="D390" s="27"/>
      <c r="E390" s="131"/>
      <c r="F390" s="131"/>
      <c r="G390" s="132"/>
      <c r="H390" s="133"/>
      <c r="I390" s="133"/>
      <c r="J390" s="132"/>
      <c r="K390" s="137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>
      <c r="A391" s="2"/>
      <c r="B391" s="27"/>
      <c r="C391" s="27"/>
      <c r="D391" s="27"/>
      <c r="E391" s="131"/>
      <c r="F391" s="131"/>
      <c r="G391" s="132"/>
      <c r="H391" s="133"/>
      <c r="I391" s="133"/>
      <c r="J391" s="132"/>
      <c r="K391" s="137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>
      <c r="A392" s="2"/>
      <c r="B392" s="27"/>
      <c r="C392" s="27"/>
      <c r="D392" s="27"/>
      <c r="E392" s="131"/>
      <c r="F392" s="131"/>
      <c r="G392" s="132"/>
      <c r="H392" s="133"/>
      <c r="I392" s="133"/>
      <c r="J392" s="132"/>
      <c r="K392" s="137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>
      <c r="A393" s="2"/>
      <c r="B393" s="27"/>
      <c r="C393" s="27"/>
      <c r="D393" s="27"/>
      <c r="E393" s="131"/>
      <c r="F393" s="131"/>
      <c r="G393" s="132"/>
      <c r="H393" s="133"/>
      <c r="I393" s="133"/>
      <c r="J393" s="132"/>
      <c r="K393" s="137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>
      <c r="A394" s="2"/>
      <c r="B394" s="27"/>
      <c r="C394" s="27"/>
      <c r="D394" s="27"/>
      <c r="E394" s="131"/>
      <c r="F394" s="131"/>
      <c r="G394" s="132"/>
      <c r="H394" s="133"/>
      <c r="I394" s="133"/>
      <c r="J394" s="132"/>
      <c r="K394" s="137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>
      <c r="A395" s="2"/>
      <c r="B395" s="27"/>
      <c r="C395" s="27"/>
      <c r="D395" s="27"/>
      <c r="E395" s="131"/>
      <c r="F395" s="131"/>
      <c r="G395" s="132"/>
      <c r="H395" s="133"/>
      <c r="I395" s="133"/>
      <c r="J395" s="132"/>
      <c r="K395" s="137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>
      <c r="A396" s="2"/>
      <c r="B396" s="27"/>
      <c r="C396" s="27"/>
      <c r="D396" s="27"/>
      <c r="E396" s="131"/>
      <c r="F396" s="131"/>
      <c r="G396" s="132"/>
      <c r="H396" s="133"/>
      <c r="I396" s="133"/>
      <c r="J396" s="132"/>
      <c r="K396" s="137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>
      <c r="A397" s="2"/>
      <c r="B397" s="27"/>
      <c r="C397" s="27"/>
      <c r="D397" s="27"/>
      <c r="E397" s="131"/>
      <c r="F397" s="131"/>
      <c r="G397" s="132"/>
      <c r="H397" s="133"/>
      <c r="I397" s="133"/>
      <c r="J397" s="132"/>
      <c r="K397" s="137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>
      <c r="A398" s="2"/>
      <c r="B398" s="27"/>
      <c r="C398" s="27"/>
      <c r="D398" s="27"/>
      <c r="E398" s="131"/>
      <c r="F398" s="131"/>
      <c r="G398" s="132"/>
      <c r="H398" s="133"/>
      <c r="I398" s="133"/>
      <c r="J398" s="132"/>
      <c r="K398" s="137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>
      <c r="A399" s="2"/>
      <c r="B399" s="27"/>
      <c r="C399" s="27"/>
      <c r="D399" s="27"/>
      <c r="E399" s="131"/>
      <c r="F399" s="131"/>
      <c r="G399" s="132"/>
      <c r="H399" s="133"/>
      <c r="I399" s="133"/>
      <c r="J399" s="132"/>
      <c r="K399" s="137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>
      <c r="A400" s="2"/>
      <c r="B400" s="27"/>
      <c r="C400" s="27"/>
      <c r="D400" s="27"/>
      <c r="E400" s="131"/>
      <c r="F400" s="131"/>
      <c r="G400" s="132"/>
      <c r="H400" s="133"/>
      <c r="I400" s="133"/>
      <c r="J400" s="132"/>
      <c r="K400" s="137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>
      <c r="A401" s="2"/>
      <c r="B401" s="27"/>
      <c r="C401" s="27"/>
      <c r="D401" s="27"/>
      <c r="E401" s="131"/>
      <c r="F401" s="131"/>
      <c r="G401" s="132"/>
      <c r="H401" s="133"/>
      <c r="I401" s="133"/>
      <c r="J401" s="132"/>
      <c r="K401" s="137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>
      <c r="A402" s="2"/>
      <c r="B402" s="27"/>
      <c r="C402" s="27"/>
      <c r="D402" s="27"/>
      <c r="E402" s="131"/>
      <c r="F402" s="131"/>
      <c r="G402" s="132"/>
      <c r="H402" s="133"/>
      <c r="I402" s="133"/>
      <c r="J402" s="132"/>
      <c r="K402" s="137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>
      <c r="A403" s="2"/>
      <c r="B403" s="27"/>
      <c r="C403" s="27"/>
      <c r="D403" s="27"/>
      <c r="E403" s="131"/>
      <c r="F403" s="131"/>
      <c r="G403" s="132"/>
      <c r="H403" s="133"/>
      <c r="I403" s="133"/>
      <c r="J403" s="132"/>
      <c r="K403" s="137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>
      <c r="A404" s="2"/>
      <c r="B404" s="27"/>
      <c r="C404" s="27"/>
      <c r="D404" s="27"/>
      <c r="E404" s="131"/>
      <c r="F404" s="131"/>
      <c r="G404" s="132"/>
      <c r="H404" s="133"/>
      <c r="I404" s="133"/>
      <c r="J404" s="132"/>
      <c r="K404" s="137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>
      <c r="A405" s="2"/>
      <c r="B405" s="27"/>
      <c r="C405" s="27"/>
      <c r="D405" s="27"/>
      <c r="E405" s="131"/>
      <c r="F405" s="131"/>
      <c r="G405" s="132"/>
      <c r="H405" s="133"/>
      <c r="I405" s="133"/>
      <c r="J405" s="132"/>
      <c r="K405" s="137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>
      <c r="A406" s="2"/>
      <c r="B406" s="27"/>
      <c r="C406" s="27"/>
      <c r="D406" s="27"/>
      <c r="E406" s="131"/>
      <c r="F406" s="131"/>
      <c r="G406" s="132"/>
      <c r="H406" s="133"/>
      <c r="I406" s="133"/>
      <c r="J406" s="132"/>
      <c r="K406" s="137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>
      <c r="A407" s="2"/>
      <c r="B407" s="27"/>
      <c r="C407" s="27"/>
      <c r="D407" s="27"/>
      <c r="E407" s="131"/>
      <c r="F407" s="131"/>
      <c r="G407" s="132"/>
      <c r="H407" s="133"/>
      <c r="I407" s="133"/>
      <c r="J407" s="132"/>
      <c r="K407" s="137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>
      <c r="A408" s="2"/>
      <c r="B408" s="27"/>
      <c r="C408" s="27"/>
      <c r="D408" s="27"/>
      <c r="E408" s="131"/>
      <c r="F408" s="131"/>
      <c r="G408" s="132"/>
      <c r="H408" s="133"/>
      <c r="I408" s="133"/>
      <c r="J408" s="132"/>
      <c r="K408" s="137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>
      <c r="A409" s="2"/>
      <c r="B409" s="27"/>
      <c r="C409" s="27"/>
      <c r="D409" s="27"/>
      <c r="E409" s="131"/>
      <c r="F409" s="131"/>
      <c r="G409" s="132"/>
      <c r="H409" s="133"/>
      <c r="I409" s="133"/>
      <c r="J409" s="132"/>
      <c r="K409" s="137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>
      <c r="A410" s="2"/>
      <c r="B410" s="27"/>
      <c r="C410" s="27"/>
      <c r="D410" s="27"/>
      <c r="E410" s="131"/>
      <c r="F410" s="131"/>
      <c r="G410" s="132"/>
      <c r="H410" s="133"/>
      <c r="I410" s="133"/>
      <c r="J410" s="132"/>
      <c r="K410" s="137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>
      <c r="A411" s="2"/>
      <c r="B411" s="27"/>
      <c r="C411" s="27"/>
      <c r="D411" s="27"/>
      <c r="E411" s="131"/>
      <c r="F411" s="131"/>
      <c r="G411" s="132"/>
      <c r="H411" s="133"/>
      <c r="I411" s="133"/>
      <c r="J411" s="132"/>
      <c r="K411" s="137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>
      <c r="A412" s="2"/>
      <c r="B412" s="27"/>
      <c r="C412" s="27"/>
      <c r="D412" s="27"/>
      <c r="E412" s="131"/>
      <c r="F412" s="131"/>
      <c r="G412" s="132"/>
      <c r="H412" s="133"/>
      <c r="I412" s="133"/>
      <c r="J412" s="132"/>
      <c r="K412" s="137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>
      <c r="A413" s="2"/>
      <c r="B413" s="27"/>
      <c r="C413" s="27"/>
      <c r="D413" s="27"/>
      <c r="E413" s="131"/>
      <c r="F413" s="131"/>
      <c r="G413" s="132"/>
      <c r="H413" s="133"/>
      <c r="I413" s="133"/>
      <c r="J413" s="132"/>
      <c r="K413" s="137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>
      <c r="A414" s="2"/>
      <c r="B414" s="27"/>
      <c r="C414" s="27"/>
      <c r="D414" s="27"/>
      <c r="E414" s="131"/>
      <c r="F414" s="131"/>
      <c r="G414" s="132"/>
      <c r="H414" s="133"/>
      <c r="I414" s="133"/>
      <c r="J414" s="132"/>
      <c r="K414" s="137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>
      <c r="A415" s="2"/>
      <c r="B415" s="27"/>
      <c r="C415" s="27"/>
      <c r="D415" s="27"/>
      <c r="E415" s="131"/>
      <c r="F415" s="131"/>
      <c r="G415" s="132"/>
      <c r="H415" s="133"/>
      <c r="I415" s="133"/>
      <c r="J415" s="132"/>
      <c r="K415" s="137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>
      <c r="A416" s="2"/>
      <c r="B416" s="27"/>
      <c r="C416" s="27"/>
      <c r="D416" s="27"/>
      <c r="E416" s="131"/>
      <c r="F416" s="131"/>
      <c r="G416" s="132"/>
      <c r="H416" s="133"/>
      <c r="I416" s="133"/>
      <c r="J416" s="132"/>
      <c r="K416" s="137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>
      <c r="A417" s="2"/>
      <c r="B417" s="27"/>
      <c r="C417" s="27"/>
      <c r="D417" s="27"/>
      <c r="E417" s="131"/>
      <c r="F417" s="131"/>
      <c r="G417" s="132"/>
      <c r="H417" s="133"/>
      <c r="I417" s="133"/>
      <c r="J417" s="132"/>
      <c r="K417" s="137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>
      <c r="A418" s="2"/>
      <c r="B418" s="27"/>
      <c r="C418" s="27"/>
      <c r="D418" s="27"/>
      <c r="E418" s="131"/>
      <c r="F418" s="131"/>
      <c r="G418" s="132"/>
      <c r="H418" s="133"/>
      <c r="I418" s="133"/>
      <c r="J418" s="132"/>
      <c r="K418" s="137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>
      <c r="A419" s="2"/>
      <c r="B419" s="27"/>
      <c r="C419" s="27"/>
      <c r="D419" s="27"/>
      <c r="E419" s="131"/>
      <c r="F419" s="131"/>
      <c r="G419" s="132"/>
      <c r="H419" s="133"/>
      <c r="I419" s="133"/>
      <c r="J419" s="132"/>
      <c r="K419" s="137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>
      <c r="A420" s="2"/>
      <c r="B420" s="27"/>
      <c r="C420" s="27"/>
      <c r="D420" s="27"/>
      <c r="E420" s="131"/>
      <c r="F420" s="131"/>
      <c r="G420" s="132"/>
      <c r="H420" s="133"/>
      <c r="I420" s="133"/>
      <c r="J420" s="132"/>
      <c r="K420" s="137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>
      <c r="A421" s="2"/>
      <c r="B421" s="27"/>
      <c r="C421" s="27"/>
      <c r="D421" s="27"/>
      <c r="E421" s="131"/>
      <c r="F421" s="131"/>
      <c r="G421" s="132"/>
      <c r="H421" s="133"/>
      <c r="I421" s="133"/>
      <c r="J421" s="132"/>
      <c r="K421" s="137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>
      <c r="A422" s="2"/>
      <c r="B422" s="27"/>
      <c r="C422" s="27"/>
      <c r="D422" s="27"/>
      <c r="E422" s="131"/>
      <c r="F422" s="131"/>
      <c r="G422" s="132"/>
      <c r="H422" s="133"/>
      <c r="I422" s="133"/>
      <c r="J422" s="132"/>
      <c r="K422" s="137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>
      <c r="A423" s="2"/>
      <c r="B423" s="27"/>
      <c r="C423" s="27"/>
      <c r="D423" s="27"/>
      <c r="E423" s="131"/>
      <c r="F423" s="131"/>
      <c r="G423" s="132"/>
      <c r="H423" s="133"/>
      <c r="I423" s="133"/>
      <c r="J423" s="132"/>
      <c r="K423" s="137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>
      <c r="A424" s="2"/>
      <c r="B424" s="27"/>
      <c r="C424" s="27"/>
      <c r="D424" s="27"/>
      <c r="E424" s="131"/>
      <c r="F424" s="131"/>
      <c r="G424" s="132"/>
      <c r="H424" s="133"/>
      <c r="I424" s="133"/>
      <c r="J424" s="132"/>
      <c r="K424" s="137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>
      <c r="A425" s="2"/>
      <c r="B425" s="27"/>
      <c r="C425" s="27"/>
      <c r="D425" s="27"/>
      <c r="E425" s="131"/>
      <c r="F425" s="131"/>
      <c r="G425" s="132"/>
      <c r="H425" s="133"/>
      <c r="I425" s="133"/>
      <c r="J425" s="132"/>
      <c r="K425" s="137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>
      <c r="A426" s="2"/>
      <c r="B426" s="27"/>
      <c r="C426" s="27"/>
      <c r="D426" s="27"/>
      <c r="E426" s="131"/>
      <c r="F426" s="131"/>
      <c r="G426" s="132"/>
      <c r="H426" s="133"/>
      <c r="I426" s="133"/>
      <c r="J426" s="132"/>
      <c r="K426" s="137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>
      <c r="A427" s="2"/>
      <c r="B427" s="27"/>
      <c r="C427" s="27"/>
      <c r="D427" s="27"/>
      <c r="E427" s="131"/>
      <c r="F427" s="131"/>
      <c r="G427" s="132"/>
      <c r="H427" s="133"/>
      <c r="I427" s="133"/>
      <c r="J427" s="132"/>
      <c r="K427" s="137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>
      <c r="A428" s="2"/>
      <c r="B428" s="27"/>
      <c r="C428" s="27"/>
      <c r="D428" s="27"/>
      <c r="E428" s="131"/>
      <c r="F428" s="131"/>
      <c r="G428" s="132"/>
      <c r="H428" s="133"/>
      <c r="I428" s="133"/>
      <c r="J428" s="132"/>
      <c r="K428" s="137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>
      <c r="A429" s="2"/>
      <c r="B429" s="27"/>
      <c r="C429" s="27"/>
      <c r="D429" s="27"/>
      <c r="E429" s="131"/>
      <c r="F429" s="131"/>
      <c r="G429" s="132"/>
      <c r="H429" s="133"/>
      <c r="I429" s="133"/>
      <c r="J429" s="132"/>
      <c r="K429" s="137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>
      <c r="A430" s="2"/>
      <c r="B430" s="27"/>
      <c r="C430" s="27"/>
      <c r="D430" s="27"/>
      <c r="E430" s="131"/>
      <c r="F430" s="131"/>
      <c r="G430" s="132"/>
      <c r="H430" s="133"/>
      <c r="I430" s="133"/>
      <c r="J430" s="132"/>
      <c r="K430" s="137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>
      <c r="A431" s="2"/>
      <c r="B431" s="27"/>
      <c r="C431" s="27"/>
      <c r="D431" s="27"/>
      <c r="E431" s="131"/>
      <c r="F431" s="131"/>
      <c r="G431" s="132"/>
      <c r="H431" s="133"/>
      <c r="I431" s="133"/>
      <c r="J431" s="132"/>
      <c r="K431" s="137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>
      <c r="A432" s="2"/>
      <c r="B432" s="27"/>
      <c r="C432" s="27"/>
      <c r="D432" s="27"/>
      <c r="E432" s="131"/>
      <c r="F432" s="131"/>
      <c r="G432" s="132"/>
      <c r="H432" s="133"/>
      <c r="I432" s="133"/>
      <c r="J432" s="132"/>
      <c r="K432" s="137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>
      <c r="A433" s="2"/>
      <c r="B433" s="27"/>
      <c r="C433" s="27"/>
      <c r="D433" s="27"/>
      <c r="E433" s="131"/>
      <c r="F433" s="131"/>
      <c r="G433" s="132"/>
      <c r="H433" s="133"/>
      <c r="I433" s="133"/>
      <c r="J433" s="132"/>
      <c r="K433" s="137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>
      <c r="A434" s="2"/>
      <c r="B434" s="27"/>
      <c r="C434" s="27"/>
      <c r="D434" s="27"/>
      <c r="E434" s="131"/>
      <c r="F434" s="131"/>
      <c r="G434" s="132"/>
      <c r="H434" s="133"/>
      <c r="I434" s="133"/>
      <c r="J434" s="132"/>
      <c r="K434" s="137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>
      <c r="A435" s="2"/>
      <c r="B435" s="27"/>
      <c r="C435" s="27"/>
      <c r="D435" s="27"/>
      <c r="E435" s="131"/>
      <c r="F435" s="131"/>
      <c r="G435" s="132"/>
      <c r="H435" s="133"/>
      <c r="I435" s="133"/>
      <c r="J435" s="132"/>
      <c r="K435" s="13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>
      <c r="A436" s="2"/>
      <c r="B436" s="27"/>
      <c r="C436" s="27"/>
      <c r="D436" s="27"/>
      <c r="E436" s="131"/>
      <c r="F436" s="131"/>
      <c r="G436" s="132"/>
      <c r="H436" s="133"/>
      <c r="I436" s="133"/>
      <c r="J436" s="132"/>
      <c r="K436" s="13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>
      <c r="A437" s="2"/>
      <c r="B437" s="27"/>
      <c r="C437" s="27"/>
      <c r="D437" s="27"/>
      <c r="E437" s="131"/>
      <c r="F437" s="131"/>
      <c r="G437" s="132"/>
      <c r="H437" s="133"/>
      <c r="I437" s="133"/>
      <c r="J437" s="132"/>
      <c r="K437" s="13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>
      <c r="A438" s="2"/>
      <c r="B438" s="27"/>
      <c r="C438" s="27"/>
      <c r="D438" s="27"/>
      <c r="E438" s="131"/>
      <c r="F438" s="131"/>
      <c r="G438" s="132"/>
      <c r="H438" s="133"/>
      <c r="I438" s="133"/>
      <c r="J438" s="132"/>
      <c r="K438" s="13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>
      <c r="A439" s="2"/>
      <c r="B439" s="27"/>
      <c r="C439" s="27"/>
      <c r="D439" s="27"/>
      <c r="E439" s="131"/>
      <c r="F439" s="131"/>
      <c r="G439" s="132"/>
      <c r="H439" s="133"/>
      <c r="I439" s="133"/>
      <c r="J439" s="132"/>
      <c r="K439" s="137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>
      <c r="A440" s="2"/>
      <c r="B440" s="27"/>
      <c r="C440" s="27"/>
      <c r="D440" s="27"/>
      <c r="E440" s="131"/>
      <c r="F440" s="131"/>
      <c r="G440" s="132"/>
      <c r="H440" s="133"/>
      <c r="I440" s="133"/>
      <c r="J440" s="132"/>
      <c r="K440" s="137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>
      <c r="A441" s="2"/>
      <c r="B441" s="27"/>
      <c r="C441" s="27"/>
      <c r="D441" s="27"/>
      <c r="E441" s="131"/>
      <c r="F441" s="131"/>
      <c r="G441" s="132"/>
      <c r="H441" s="133"/>
      <c r="I441" s="133"/>
      <c r="J441" s="132"/>
      <c r="K441" s="137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>
      <c r="A442" s="2"/>
      <c r="B442" s="27"/>
      <c r="C442" s="27"/>
      <c r="D442" s="27"/>
      <c r="E442" s="131"/>
      <c r="F442" s="131"/>
      <c r="G442" s="132"/>
      <c r="H442" s="133"/>
      <c r="I442" s="133"/>
      <c r="J442" s="132"/>
      <c r="K442" s="137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>
      <c r="A443" s="2"/>
      <c r="B443" s="27"/>
      <c r="C443" s="27"/>
      <c r="D443" s="27"/>
      <c r="E443" s="131"/>
      <c r="F443" s="131"/>
      <c r="G443" s="132"/>
      <c r="H443" s="133"/>
      <c r="I443" s="133"/>
      <c r="J443" s="132"/>
      <c r="K443" s="137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>
      <c r="A444" s="2"/>
      <c r="B444" s="27"/>
      <c r="C444" s="27"/>
      <c r="D444" s="27"/>
      <c r="E444" s="131"/>
      <c r="F444" s="131"/>
      <c r="G444" s="132"/>
      <c r="H444" s="133"/>
      <c r="I444" s="133"/>
      <c r="J444" s="132"/>
      <c r="K444" s="137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>
      <c r="A445" s="2"/>
      <c r="B445" s="27"/>
      <c r="C445" s="27"/>
      <c r="D445" s="27"/>
      <c r="E445" s="131"/>
      <c r="F445" s="131"/>
      <c r="G445" s="132"/>
      <c r="H445" s="133"/>
      <c r="I445" s="133"/>
      <c r="J445" s="132"/>
      <c r="K445" s="137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>
      <c r="A446" s="2"/>
      <c r="B446" s="27"/>
      <c r="C446" s="27"/>
      <c r="D446" s="27"/>
      <c r="E446" s="131"/>
      <c r="F446" s="131"/>
      <c r="G446" s="132"/>
      <c r="H446" s="133"/>
      <c r="I446" s="133"/>
      <c r="J446" s="132"/>
      <c r="K446" s="137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>
      <c r="A447" s="2"/>
      <c r="B447" s="27"/>
      <c r="C447" s="27"/>
      <c r="D447" s="27"/>
      <c r="E447" s="131"/>
      <c r="F447" s="131"/>
      <c r="G447" s="132"/>
      <c r="H447" s="133"/>
      <c r="I447" s="133"/>
      <c r="J447" s="132"/>
      <c r="K447" s="137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>
      <c r="A448" s="2"/>
      <c r="B448" s="27"/>
      <c r="C448" s="27"/>
      <c r="D448" s="27"/>
      <c r="E448" s="131"/>
      <c r="F448" s="131"/>
      <c r="G448" s="132"/>
      <c r="H448" s="133"/>
      <c r="I448" s="133"/>
      <c r="J448" s="132"/>
      <c r="K448" s="137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>
      <c r="A449" s="2"/>
      <c r="B449" s="27"/>
      <c r="C449" s="27"/>
      <c r="D449" s="27"/>
      <c r="E449" s="131"/>
      <c r="F449" s="131"/>
      <c r="G449" s="132"/>
      <c r="H449" s="133"/>
      <c r="I449" s="133"/>
      <c r="J449" s="132"/>
      <c r="K449" s="137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>
      <c r="A450" s="2"/>
      <c r="B450" s="27"/>
      <c r="C450" s="27"/>
      <c r="D450" s="27"/>
      <c r="E450" s="131"/>
      <c r="F450" s="131"/>
      <c r="G450" s="132"/>
      <c r="H450" s="133"/>
      <c r="I450" s="133"/>
      <c r="J450" s="132"/>
      <c r="K450" s="137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>
      <c r="A451" s="2"/>
      <c r="B451" s="27"/>
      <c r="C451" s="27"/>
      <c r="D451" s="27"/>
      <c r="E451" s="131"/>
      <c r="F451" s="131"/>
      <c r="G451" s="132"/>
      <c r="H451" s="133"/>
      <c r="I451" s="133"/>
      <c r="J451" s="132"/>
      <c r="K451" s="137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>
      <c r="A452" s="2"/>
      <c r="B452" s="27"/>
      <c r="C452" s="27"/>
      <c r="D452" s="27"/>
      <c r="E452" s="131"/>
      <c r="F452" s="131"/>
      <c r="G452" s="132"/>
      <c r="H452" s="133"/>
      <c r="I452" s="133"/>
      <c r="J452" s="132"/>
      <c r="K452" s="137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>
      <c r="A453" s="2"/>
      <c r="B453" s="27"/>
      <c r="C453" s="27"/>
      <c r="D453" s="27"/>
      <c r="E453" s="131"/>
      <c r="F453" s="131"/>
      <c r="G453" s="132"/>
      <c r="H453" s="133"/>
      <c r="I453" s="133"/>
      <c r="J453" s="132"/>
      <c r="K453" s="137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>
      <c r="A454" s="2"/>
      <c r="B454" s="27"/>
      <c r="C454" s="27"/>
      <c r="D454" s="27"/>
      <c r="E454" s="131"/>
      <c r="F454" s="131"/>
      <c r="G454" s="132"/>
      <c r="H454" s="133"/>
      <c r="I454" s="133"/>
      <c r="J454" s="132"/>
      <c r="K454" s="13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>
      <c r="A455" s="2"/>
      <c r="B455" s="27"/>
      <c r="C455" s="27"/>
      <c r="D455" s="27"/>
      <c r="E455" s="131"/>
      <c r="F455" s="131"/>
      <c r="G455" s="132"/>
      <c r="H455" s="133"/>
      <c r="I455" s="133"/>
      <c r="J455" s="132"/>
      <c r="K455" s="13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>
      <c r="A456" s="2"/>
      <c r="B456" s="27"/>
      <c r="C456" s="27"/>
      <c r="D456" s="27"/>
      <c r="E456" s="131"/>
      <c r="F456" s="131"/>
      <c r="G456" s="132"/>
      <c r="H456" s="133"/>
      <c r="I456" s="133"/>
      <c r="J456" s="132"/>
      <c r="K456" s="13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>
      <c r="A457" s="2"/>
      <c r="B457" s="27"/>
      <c r="C457" s="27"/>
      <c r="D457" s="27"/>
      <c r="E457" s="131"/>
      <c r="F457" s="131"/>
      <c r="G457" s="132"/>
      <c r="H457" s="133"/>
      <c r="I457" s="133"/>
      <c r="J457" s="132"/>
      <c r="K457" s="137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>
      <c r="A458" s="2"/>
      <c r="B458" s="27"/>
      <c r="C458" s="27"/>
      <c r="D458" s="27"/>
      <c r="E458" s="131"/>
      <c r="F458" s="131"/>
      <c r="G458" s="132"/>
      <c r="H458" s="133"/>
      <c r="I458" s="133"/>
      <c r="J458" s="132"/>
      <c r="K458" s="137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>
      <c r="A459" s="2"/>
      <c r="B459" s="27"/>
      <c r="C459" s="27"/>
      <c r="D459" s="27"/>
      <c r="E459" s="131"/>
      <c r="F459" s="131"/>
      <c r="G459" s="132"/>
      <c r="H459" s="133"/>
      <c r="I459" s="133"/>
      <c r="J459" s="132"/>
      <c r="K459" s="137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>
      <c r="A460" s="2"/>
      <c r="B460" s="27"/>
      <c r="C460" s="27"/>
      <c r="D460" s="27"/>
      <c r="E460" s="131"/>
      <c r="F460" s="131"/>
      <c r="G460" s="132"/>
      <c r="H460" s="133"/>
      <c r="I460" s="133"/>
      <c r="J460" s="132"/>
      <c r="K460" s="137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>
      <c r="A461" s="2"/>
      <c r="B461" s="27"/>
      <c r="C461" s="27"/>
      <c r="D461" s="27"/>
      <c r="E461" s="131"/>
      <c r="F461" s="131"/>
      <c r="G461" s="132"/>
      <c r="H461" s="133"/>
      <c r="I461" s="133"/>
      <c r="J461" s="132"/>
      <c r="K461" s="137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>
      <c r="A462" s="2"/>
      <c r="B462" s="27"/>
      <c r="C462" s="27"/>
      <c r="D462" s="27"/>
      <c r="E462" s="131"/>
      <c r="F462" s="131"/>
      <c r="G462" s="132"/>
      <c r="H462" s="133"/>
      <c r="I462" s="133"/>
      <c r="J462" s="132"/>
      <c r="K462" s="137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>
      <c r="A463" s="2"/>
      <c r="B463" s="27"/>
      <c r="C463" s="27"/>
      <c r="D463" s="27"/>
      <c r="E463" s="131"/>
      <c r="F463" s="131"/>
      <c r="G463" s="132"/>
      <c r="H463" s="133"/>
      <c r="I463" s="133"/>
      <c r="J463" s="132"/>
      <c r="K463" s="137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>
      <c r="A464" s="2"/>
      <c r="B464" s="27"/>
      <c r="C464" s="27"/>
      <c r="D464" s="27"/>
      <c r="E464" s="131"/>
      <c r="F464" s="131"/>
      <c r="G464" s="132"/>
      <c r="H464" s="133"/>
      <c r="I464" s="133"/>
      <c r="J464" s="132"/>
      <c r="K464" s="137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>
      <c r="A465" s="2"/>
      <c r="B465" s="27"/>
      <c r="C465" s="27"/>
      <c r="D465" s="27"/>
      <c r="E465" s="131"/>
      <c r="F465" s="131"/>
      <c r="G465" s="132"/>
      <c r="H465" s="133"/>
      <c r="I465" s="133"/>
      <c r="J465" s="132"/>
      <c r="K465" s="137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>
      <c r="A466" s="2"/>
      <c r="B466" s="27"/>
      <c r="C466" s="27"/>
      <c r="D466" s="27"/>
      <c r="E466" s="131"/>
      <c r="F466" s="131"/>
      <c r="G466" s="132"/>
      <c r="H466" s="133"/>
      <c r="I466" s="133"/>
      <c r="J466" s="132"/>
      <c r="K466" s="137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>
      <c r="A467" s="2"/>
      <c r="B467" s="27"/>
      <c r="C467" s="27"/>
      <c r="D467" s="27"/>
      <c r="E467" s="131"/>
      <c r="F467" s="131"/>
      <c r="G467" s="132"/>
      <c r="H467" s="133"/>
      <c r="I467" s="133"/>
      <c r="J467" s="132"/>
      <c r="K467" s="137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>
      <c r="A468" s="2"/>
      <c r="B468" s="27"/>
      <c r="C468" s="27"/>
      <c r="D468" s="27"/>
      <c r="E468" s="131"/>
      <c r="F468" s="131"/>
      <c r="G468" s="132"/>
      <c r="H468" s="133"/>
      <c r="I468" s="133"/>
      <c r="J468" s="132"/>
      <c r="K468" s="137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>
      <c r="A469" s="2"/>
      <c r="B469" s="27"/>
      <c r="C469" s="27"/>
      <c r="D469" s="27"/>
      <c r="E469" s="131"/>
      <c r="F469" s="131"/>
      <c r="G469" s="132"/>
      <c r="H469" s="133"/>
      <c r="I469" s="133"/>
      <c r="J469" s="132"/>
      <c r="K469" s="137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>
      <c r="A470" s="2"/>
      <c r="B470" s="27"/>
      <c r="C470" s="27"/>
      <c r="D470" s="27"/>
      <c r="E470" s="131"/>
      <c r="F470" s="131"/>
      <c r="G470" s="132"/>
      <c r="H470" s="133"/>
      <c r="I470" s="133"/>
      <c r="J470" s="132"/>
      <c r="K470" s="137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>
      <c r="A471" s="2"/>
      <c r="B471" s="27"/>
      <c r="C471" s="27"/>
      <c r="D471" s="27"/>
      <c r="E471" s="131"/>
      <c r="F471" s="131"/>
      <c r="G471" s="132"/>
      <c r="H471" s="133"/>
      <c r="I471" s="133"/>
      <c r="J471" s="132"/>
      <c r="K471" s="137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>
      <c r="A472" s="2"/>
      <c r="B472" s="27"/>
      <c r="C472" s="27"/>
      <c r="D472" s="27"/>
      <c r="E472" s="131"/>
      <c r="F472" s="131"/>
      <c r="G472" s="132"/>
      <c r="H472" s="133"/>
      <c r="I472" s="133"/>
      <c r="J472" s="132"/>
      <c r="K472" s="137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>
      <c r="A473" s="2"/>
      <c r="B473" s="27"/>
      <c r="C473" s="27"/>
      <c r="D473" s="27"/>
      <c r="E473" s="131"/>
      <c r="F473" s="131"/>
      <c r="G473" s="132"/>
      <c r="H473" s="133"/>
      <c r="I473" s="133"/>
      <c r="J473" s="132"/>
      <c r="K473" s="137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>
      <c r="A474" s="2"/>
      <c r="B474" s="27"/>
      <c r="C474" s="27"/>
      <c r="D474" s="27"/>
      <c r="E474" s="131"/>
      <c r="F474" s="131"/>
      <c r="G474" s="132"/>
      <c r="H474" s="133"/>
      <c r="I474" s="133"/>
      <c r="J474" s="132"/>
      <c r="K474" s="137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>
      <c r="A475" s="2"/>
      <c r="B475" s="27"/>
      <c r="C475" s="27"/>
      <c r="D475" s="27"/>
      <c r="E475" s="131"/>
      <c r="F475" s="131"/>
      <c r="G475" s="132"/>
      <c r="H475" s="133"/>
      <c r="I475" s="133"/>
      <c r="J475" s="132"/>
      <c r="K475" s="137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>
      <c r="A476" s="2"/>
      <c r="B476" s="27"/>
      <c r="C476" s="27"/>
      <c r="D476" s="27"/>
      <c r="E476" s="131"/>
      <c r="F476" s="131"/>
      <c r="G476" s="132"/>
      <c r="H476" s="133"/>
      <c r="I476" s="133"/>
      <c r="J476" s="132"/>
      <c r="K476" s="137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>
      <c r="A477" s="2"/>
      <c r="B477" s="27"/>
      <c r="C477" s="27"/>
      <c r="D477" s="27"/>
      <c r="E477" s="131"/>
      <c r="F477" s="131"/>
      <c r="G477" s="132"/>
      <c r="H477" s="133"/>
      <c r="I477" s="133"/>
      <c r="J477" s="132"/>
      <c r="K477" s="137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>
      <c r="A478" s="2"/>
      <c r="B478" s="27"/>
      <c r="C478" s="27"/>
      <c r="D478" s="27"/>
      <c r="E478" s="131"/>
      <c r="F478" s="131"/>
      <c r="G478" s="132"/>
      <c r="H478" s="133"/>
      <c r="I478" s="133"/>
      <c r="J478" s="132"/>
      <c r="K478" s="137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>
      <c r="A479" s="2"/>
      <c r="B479" s="27"/>
      <c r="C479" s="27"/>
      <c r="D479" s="27"/>
      <c r="E479" s="131"/>
      <c r="F479" s="131"/>
      <c r="G479" s="132"/>
      <c r="H479" s="133"/>
      <c r="I479" s="133"/>
      <c r="J479" s="132"/>
      <c r="K479" s="137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>
      <c r="A480" s="2"/>
      <c r="B480" s="27"/>
      <c r="C480" s="27"/>
      <c r="D480" s="27"/>
      <c r="E480" s="131"/>
      <c r="F480" s="131"/>
      <c r="G480" s="132"/>
      <c r="H480" s="133"/>
      <c r="I480" s="133"/>
      <c r="J480" s="132"/>
      <c r="K480" s="137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>
      <c r="A481" s="2"/>
      <c r="B481" s="27"/>
      <c r="C481" s="27"/>
      <c r="D481" s="27"/>
      <c r="E481" s="131"/>
      <c r="F481" s="131"/>
      <c r="G481" s="132"/>
      <c r="H481" s="133"/>
      <c r="I481" s="133"/>
      <c r="J481" s="132"/>
      <c r="K481" s="137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>
      <c r="A482" s="2"/>
      <c r="B482" s="27"/>
      <c r="C482" s="27"/>
      <c r="D482" s="27"/>
      <c r="E482" s="131"/>
      <c r="F482" s="131"/>
      <c r="G482" s="132"/>
      <c r="H482" s="133"/>
      <c r="I482" s="133"/>
      <c r="J482" s="132"/>
      <c r="K482" s="137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>
      <c r="A483" s="2"/>
      <c r="B483" s="27"/>
      <c r="C483" s="27"/>
      <c r="D483" s="27"/>
      <c r="E483" s="131"/>
      <c r="F483" s="131"/>
      <c r="G483" s="132"/>
      <c r="H483" s="133"/>
      <c r="I483" s="133"/>
      <c r="J483" s="132"/>
      <c r="K483" s="137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>
      <c r="A484" s="2"/>
      <c r="B484" s="27"/>
      <c r="C484" s="27"/>
      <c r="D484" s="27"/>
      <c r="E484" s="131"/>
      <c r="F484" s="131"/>
      <c r="G484" s="132"/>
      <c r="H484" s="133"/>
      <c r="I484" s="133"/>
      <c r="J484" s="132"/>
      <c r="K484" s="137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>
      <c r="A485" s="2"/>
      <c r="B485" s="27"/>
      <c r="C485" s="27"/>
      <c r="D485" s="27"/>
      <c r="E485" s="131"/>
      <c r="F485" s="131"/>
      <c r="G485" s="132"/>
      <c r="H485" s="133"/>
      <c r="I485" s="133"/>
      <c r="J485" s="132"/>
      <c r="K485" s="137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>
      <c r="A486" s="2"/>
      <c r="B486" s="27"/>
      <c r="C486" s="27"/>
      <c r="D486" s="27"/>
      <c r="E486" s="131"/>
      <c r="F486" s="131"/>
      <c r="G486" s="132"/>
      <c r="H486" s="133"/>
      <c r="I486" s="133"/>
      <c r="J486" s="132"/>
      <c r="K486" s="137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>
      <c r="A487" s="2"/>
      <c r="B487" s="27"/>
      <c r="C487" s="27"/>
      <c r="D487" s="27"/>
      <c r="E487" s="131"/>
      <c r="F487" s="131"/>
      <c r="G487" s="132"/>
      <c r="H487" s="133"/>
      <c r="I487" s="133"/>
      <c r="J487" s="132"/>
      <c r="K487" s="137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>
      <c r="A488" s="2"/>
      <c r="B488" s="27"/>
      <c r="C488" s="27"/>
      <c r="D488" s="27"/>
      <c r="E488" s="131"/>
      <c r="F488" s="131"/>
      <c r="G488" s="132"/>
      <c r="H488" s="133"/>
      <c r="I488" s="133"/>
      <c r="J488" s="132"/>
      <c r="K488" s="137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>
      <c r="A489" s="2"/>
      <c r="B489" s="27"/>
      <c r="C489" s="27"/>
      <c r="D489" s="27"/>
      <c r="E489" s="131"/>
      <c r="F489" s="131"/>
      <c r="G489" s="132"/>
      <c r="H489" s="133"/>
      <c r="I489" s="133"/>
      <c r="J489" s="132"/>
      <c r="K489" s="137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>
      <c r="A490" s="2"/>
      <c r="B490" s="27"/>
      <c r="C490" s="27"/>
      <c r="D490" s="27"/>
      <c r="E490" s="131"/>
      <c r="F490" s="131"/>
      <c r="G490" s="132"/>
      <c r="H490" s="133"/>
      <c r="I490" s="133"/>
      <c r="J490" s="132"/>
      <c r="K490" s="137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>
      <c r="A491" s="2"/>
      <c r="B491" s="27"/>
      <c r="C491" s="27"/>
      <c r="D491" s="27"/>
      <c r="E491" s="131"/>
      <c r="F491" s="131"/>
      <c r="G491" s="132"/>
      <c r="H491" s="133"/>
      <c r="I491" s="133"/>
      <c r="J491" s="132"/>
      <c r="K491" s="137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>
      <c r="A492" s="2"/>
      <c r="B492" s="27"/>
      <c r="C492" s="27"/>
      <c r="D492" s="27"/>
      <c r="E492" s="131"/>
      <c r="F492" s="131"/>
      <c r="G492" s="132"/>
      <c r="H492" s="133"/>
      <c r="I492" s="133"/>
      <c r="J492" s="132"/>
      <c r="K492" s="137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>
      <c r="A493" s="2"/>
      <c r="B493" s="27"/>
      <c r="C493" s="27"/>
      <c r="D493" s="27"/>
      <c r="E493" s="131"/>
      <c r="F493" s="131"/>
      <c r="G493" s="132"/>
      <c r="H493" s="133"/>
      <c r="I493" s="133"/>
      <c r="J493" s="132"/>
      <c r="K493" s="137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>
      <c r="A494" s="2"/>
      <c r="B494" s="27"/>
      <c r="C494" s="27"/>
      <c r="D494" s="27"/>
      <c r="E494" s="131"/>
      <c r="F494" s="131"/>
      <c r="G494" s="132"/>
      <c r="H494" s="133"/>
      <c r="I494" s="133"/>
      <c r="J494" s="132"/>
      <c r="K494" s="137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>
      <c r="A495" s="2"/>
      <c r="B495" s="27"/>
      <c r="C495" s="27"/>
      <c r="D495" s="27"/>
      <c r="E495" s="131"/>
      <c r="F495" s="131"/>
      <c r="G495" s="132"/>
      <c r="H495" s="133"/>
      <c r="I495" s="133"/>
      <c r="J495" s="132"/>
      <c r="K495" s="137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>
      <c r="A496" s="2"/>
      <c r="B496" s="27"/>
      <c r="C496" s="27"/>
      <c r="D496" s="27"/>
      <c r="E496" s="131"/>
      <c r="F496" s="131"/>
      <c r="G496" s="132"/>
      <c r="H496" s="133"/>
      <c r="I496" s="133"/>
      <c r="J496" s="132"/>
      <c r="K496" s="137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>
      <c r="A497" s="2"/>
      <c r="B497" s="27"/>
      <c r="C497" s="27"/>
      <c r="D497" s="27"/>
      <c r="E497" s="131"/>
      <c r="F497" s="131"/>
      <c r="G497" s="132"/>
      <c r="H497" s="133"/>
      <c r="I497" s="133"/>
      <c r="J497" s="132"/>
      <c r="K497" s="137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>
      <c r="A498" s="2"/>
      <c r="B498" s="27"/>
      <c r="C498" s="27"/>
      <c r="D498" s="27"/>
      <c r="E498" s="131"/>
      <c r="F498" s="131"/>
      <c r="G498" s="132"/>
      <c r="H498" s="133"/>
      <c r="I498" s="133"/>
      <c r="J498" s="132"/>
      <c r="K498" s="137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>
      <c r="A499" s="2"/>
      <c r="B499" s="27"/>
      <c r="C499" s="27"/>
      <c r="D499" s="27"/>
      <c r="E499" s="131"/>
      <c r="F499" s="131"/>
      <c r="G499" s="132"/>
      <c r="H499" s="133"/>
      <c r="I499" s="133"/>
      <c r="J499" s="132"/>
      <c r="K499" s="137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>
      <c r="A500" s="2"/>
      <c r="B500" s="27"/>
      <c r="C500" s="27"/>
      <c r="D500" s="27"/>
      <c r="E500" s="131"/>
      <c r="F500" s="131"/>
      <c r="G500" s="132"/>
      <c r="H500" s="133"/>
      <c r="I500" s="133"/>
      <c r="J500" s="132"/>
      <c r="K500" s="137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>
      <c r="A501" s="2"/>
      <c r="B501" s="27"/>
      <c r="C501" s="27"/>
      <c r="D501" s="27"/>
      <c r="E501" s="131"/>
      <c r="F501" s="131"/>
      <c r="G501" s="132"/>
      <c r="H501" s="133"/>
      <c r="I501" s="133"/>
      <c r="J501" s="132"/>
      <c r="K501" s="137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>
      <c r="A502" s="2"/>
      <c r="B502" s="27"/>
      <c r="C502" s="27"/>
      <c r="D502" s="27"/>
      <c r="E502" s="131"/>
      <c r="F502" s="131"/>
      <c r="G502" s="132"/>
      <c r="H502" s="133"/>
      <c r="I502" s="133"/>
      <c r="J502" s="132"/>
      <c r="K502" s="137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>
      <c r="A503" s="2"/>
      <c r="B503" s="27"/>
      <c r="C503" s="27"/>
      <c r="D503" s="27"/>
      <c r="E503" s="131"/>
      <c r="F503" s="131"/>
      <c r="G503" s="132"/>
      <c r="H503" s="133"/>
      <c r="I503" s="133"/>
      <c r="J503" s="132"/>
      <c r="K503" s="137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>
      <c r="A504" s="2"/>
      <c r="B504" s="27"/>
      <c r="C504" s="27"/>
      <c r="D504" s="27"/>
      <c r="E504" s="131"/>
      <c r="F504" s="131"/>
      <c r="G504" s="132"/>
      <c r="H504" s="133"/>
      <c r="I504" s="133"/>
      <c r="J504" s="132"/>
      <c r="K504" s="137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>
      <c r="A505" s="2"/>
      <c r="B505" s="27"/>
      <c r="C505" s="27"/>
      <c r="D505" s="27"/>
      <c r="E505" s="131"/>
      <c r="F505" s="131"/>
      <c r="G505" s="132"/>
      <c r="H505" s="133"/>
      <c r="I505" s="133"/>
      <c r="J505" s="132"/>
      <c r="K505" s="137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>
      <c r="A506" s="2"/>
      <c r="B506" s="27"/>
      <c r="C506" s="27"/>
      <c r="D506" s="27"/>
      <c r="E506" s="131"/>
      <c r="F506" s="131"/>
      <c r="G506" s="132"/>
      <c r="H506" s="133"/>
      <c r="I506" s="133"/>
      <c r="J506" s="132"/>
      <c r="K506" s="137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>
      <c r="A507" s="2"/>
      <c r="B507" s="27"/>
      <c r="C507" s="27"/>
      <c r="D507" s="27"/>
      <c r="E507" s="131"/>
      <c r="F507" s="131"/>
      <c r="G507" s="132"/>
      <c r="H507" s="133"/>
      <c r="I507" s="133"/>
      <c r="J507" s="132"/>
      <c r="K507" s="137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>
      <c r="A508" s="2"/>
      <c r="B508" s="27"/>
      <c r="C508" s="27"/>
      <c r="D508" s="27"/>
      <c r="E508" s="131"/>
      <c r="F508" s="131"/>
      <c r="G508" s="132"/>
      <c r="H508" s="133"/>
      <c r="I508" s="133"/>
      <c r="J508" s="132"/>
      <c r="K508" s="137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>
      <c r="A509" s="2"/>
      <c r="B509" s="27"/>
      <c r="C509" s="27"/>
      <c r="D509" s="27"/>
      <c r="E509" s="131"/>
      <c r="F509" s="131"/>
      <c r="G509" s="132"/>
      <c r="H509" s="133"/>
      <c r="I509" s="133"/>
      <c r="J509" s="132"/>
      <c r="K509" s="137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>
      <c r="A510" s="2"/>
      <c r="B510" s="27"/>
      <c r="C510" s="27"/>
      <c r="D510" s="27"/>
      <c r="E510" s="131"/>
      <c r="F510" s="131"/>
      <c r="G510" s="132"/>
      <c r="H510" s="133"/>
      <c r="I510" s="133"/>
      <c r="J510" s="132"/>
      <c r="K510" s="137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>
      <c r="A511" s="2"/>
      <c r="B511" s="27"/>
      <c r="C511" s="27"/>
      <c r="D511" s="27"/>
      <c r="E511" s="131"/>
      <c r="F511" s="131"/>
      <c r="G511" s="132"/>
      <c r="H511" s="133"/>
      <c r="I511" s="133"/>
      <c r="J511" s="132"/>
      <c r="K511" s="137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>
      <c r="A512" s="2"/>
      <c r="B512" s="27"/>
      <c r="C512" s="27"/>
      <c r="D512" s="27"/>
      <c r="E512" s="131"/>
      <c r="F512" s="131"/>
      <c r="G512" s="132"/>
      <c r="H512" s="133"/>
      <c r="I512" s="133"/>
      <c r="J512" s="132"/>
      <c r="K512" s="137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>
      <c r="A513" s="2"/>
      <c r="B513" s="27"/>
      <c r="C513" s="27"/>
      <c r="D513" s="27"/>
      <c r="E513" s="131"/>
      <c r="F513" s="131"/>
      <c r="G513" s="132"/>
      <c r="H513" s="133"/>
      <c r="I513" s="133"/>
      <c r="J513" s="132"/>
      <c r="K513" s="137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>
      <c r="A514" s="2"/>
      <c r="B514" s="27"/>
      <c r="C514" s="27"/>
      <c r="D514" s="27"/>
      <c r="E514" s="131"/>
      <c r="F514" s="131"/>
      <c r="G514" s="132"/>
      <c r="H514" s="133"/>
      <c r="I514" s="133"/>
      <c r="J514" s="132"/>
      <c r="K514" s="137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>
      <c r="A515" s="2"/>
      <c r="B515" s="27"/>
      <c r="C515" s="27"/>
      <c r="D515" s="27"/>
      <c r="E515" s="131"/>
      <c r="F515" s="131"/>
      <c r="G515" s="132"/>
      <c r="H515" s="133"/>
      <c r="I515" s="133"/>
      <c r="J515" s="132"/>
      <c r="K515" s="137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>
      <c r="A516" s="2"/>
      <c r="B516" s="27"/>
      <c r="C516" s="27"/>
      <c r="D516" s="27"/>
      <c r="E516" s="131"/>
      <c r="F516" s="131"/>
      <c r="G516" s="132"/>
      <c r="H516" s="133"/>
      <c r="I516" s="133"/>
      <c r="J516" s="132"/>
      <c r="K516" s="137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>
      <c r="A517" s="2"/>
      <c r="B517" s="27"/>
      <c r="C517" s="27"/>
      <c r="D517" s="27"/>
      <c r="E517" s="131"/>
      <c r="F517" s="131"/>
      <c r="G517" s="132"/>
      <c r="H517" s="133"/>
      <c r="I517" s="133"/>
      <c r="J517" s="132"/>
      <c r="K517" s="137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>
      <c r="A518" s="2"/>
      <c r="B518" s="27"/>
      <c r="C518" s="27"/>
      <c r="D518" s="27"/>
      <c r="E518" s="131"/>
      <c r="F518" s="131"/>
      <c r="G518" s="132"/>
      <c r="H518" s="133"/>
      <c r="I518" s="133"/>
      <c r="J518" s="132"/>
      <c r="K518" s="137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>
      <c r="A519" s="2"/>
      <c r="B519" s="27"/>
      <c r="C519" s="27"/>
      <c r="D519" s="27"/>
      <c r="E519" s="131"/>
      <c r="F519" s="131"/>
      <c r="G519" s="132"/>
      <c r="H519" s="133"/>
      <c r="I519" s="133"/>
      <c r="J519" s="132"/>
      <c r="K519" s="137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>
      <c r="A520" s="2"/>
      <c r="B520" s="27"/>
      <c r="C520" s="27"/>
      <c r="D520" s="27"/>
      <c r="E520" s="131"/>
      <c r="F520" s="131"/>
      <c r="G520" s="132"/>
      <c r="H520" s="133"/>
      <c r="I520" s="133"/>
      <c r="J520" s="132"/>
      <c r="K520" s="137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>
      <c r="A521" s="2"/>
      <c r="B521" s="27"/>
      <c r="C521" s="27"/>
      <c r="D521" s="27"/>
      <c r="E521" s="131"/>
      <c r="F521" s="131"/>
      <c r="G521" s="132"/>
      <c r="H521" s="133"/>
      <c r="I521" s="133"/>
      <c r="J521" s="132"/>
      <c r="K521" s="137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>
      <c r="A522" s="2"/>
      <c r="B522" s="27"/>
      <c r="C522" s="27"/>
      <c r="D522" s="27"/>
      <c r="E522" s="131"/>
      <c r="F522" s="131"/>
      <c r="G522" s="132"/>
      <c r="H522" s="133"/>
      <c r="I522" s="133"/>
      <c r="J522" s="132"/>
      <c r="K522" s="137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>
      <c r="A523" s="2"/>
      <c r="B523" s="27"/>
      <c r="C523" s="27"/>
      <c r="D523" s="27"/>
      <c r="E523" s="131"/>
      <c r="F523" s="131"/>
      <c r="G523" s="132"/>
      <c r="H523" s="133"/>
      <c r="I523" s="133"/>
      <c r="J523" s="132"/>
      <c r="K523" s="137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>
      <c r="A524" s="2"/>
      <c r="B524" s="27"/>
      <c r="C524" s="27"/>
      <c r="D524" s="27"/>
      <c r="E524" s="131"/>
      <c r="F524" s="131"/>
      <c r="G524" s="132"/>
      <c r="H524" s="133"/>
      <c r="I524" s="133"/>
      <c r="J524" s="132"/>
      <c r="K524" s="137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>
      <c r="A525" s="2"/>
      <c r="B525" s="27"/>
      <c r="C525" s="27"/>
      <c r="D525" s="27"/>
      <c r="E525" s="131"/>
      <c r="F525" s="131"/>
      <c r="G525" s="132"/>
      <c r="H525" s="133"/>
      <c r="I525" s="133"/>
      <c r="J525" s="132"/>
      <c r="K525" s="137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>
      <c r="A526" s="2"/>
      <c r="B526" s="27"/>
      <c r="C526" s="27"/>
      <c r="D526" s="27"/>
      <c r="E526" s="131"/>
      <c r="F526" s="131"/>
      <c r="G526" s="132"/>
      <c r="H526" s="133"/>
      <c r="I526" s="133"/>
      <c r="J526" s="132"/>
      <c r="K526" s="137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>
      <c r="A527" s="2"/>
      <c r="B527" s="27"/>
      <c r="C527" s="27"/>
      <c r="D527" s="27"/>
      <c r="E527" s="131"/>
      <c r="F527" s="131"/>
      <c r="G527" s="132"/>
      <c r="H527" s="133"/>
      <c r="I527" s="133"/>
      <c r="J527" s="132"/>
      <c r="K527" s="137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>
      <c r="A528" s="2"/>
      <c r="B528" s="27"/>
      <c r="C528" s="27"/>
      <c r="D528" s="27"/>
      <c r="E528" s="131"/>
      <c r="F528" s="131"/>
      <c r="G528" s="132"/>
      <c r="H528" s="133"/>
      <c r="I528" s="133"/>
      <c r="J528" s="132"/>
      <c r="K528" s="137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>
      <c r="A529" s="2"/>
      <c r="B529" s="27"/>
      <c r="C529" s="27"/>
      <c r="D529" s="27"/>
      <c r="E529" s="131"/>
      <c r="F529" s="131"/>
      <c r="G529" s="132"/>
      <c r="H529" s="133"/>
      <c r="I529" s="133"/>
      <c r="J529" s="132"/>
      <c r="K529" s="137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>
      <c r="A530" s="2"/>
      <c r="B530" s="27"/>
      <c r="C530" s="27"/>
      <c r="D530" s="27"/>
      <c r="E530" s="131"/>
      <c r="F530" s="131"/>
      <c r="G530" s="132"/>
      <c r="H530" s="133"/>
      <c r="I530" s="133"/>
      <c r="J530" s="132"/>
      <c r="K530" s="137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>
      <c r="A531" s="2"/>
      <c r="B531" s="27"/>
      <c r="C531" s="27"/>
      <c r="D531" s="27"/>
      <c r="E531" s="131"/>
      <c r="F531" s="131"/>
      <c r="G531" s="132"/>
      <c r="H531" s="133"/>
      <c r="I531" s="133"/>
      <c r="J531" s="132"/>
      <c r="K531" s="137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>
      <c r="A532" s="2"/>
      <c r="B532" s="27"/>
      <c r="C532" s="27"/>
      <c r="D532" s="27"/>
      <c r="E532" s="131"/>
      <c r="F532" s="131"/>
      <c r="G532" s="132"/>
      <c r="H532" s="133"/>
      <c r="I532" s="133"/>
      <c r="J532" s="132"/>
      <c r="K532" s="137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>
      <c r="A533" s="2"/>
      <c r="B533" s="27"/>
      <c r="C533" s="27"/>
      <c r="D533" s="27"/>
      <c r="E533" s="131"/>
      <c r="F533" s="131"/>
      <c r="G533" s="132"/>
      <c r="H533" s="133"/>
      <c r="I533" s="133"/>
      <c r="J533" s="132"/>
      <c r="K533" s="137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>
      <c r="A534" s="2"/>
      <c r="B534" s="27"/>
      <c r="C534" s="27"/>
      <c r="D534" s="27"/>
      <c r="E534" s="131"/>
      <c r="F534" s="131"/>
      <c r="G534" s="132"/>
      <c r="H534" s="133"/>
      <c r="I534" s="133"/>
      <c r="J534" s="132"/>
      <c r="K534" s="137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>
      <c r="A535" s="2"/>
      <c r="B535" s="27"/>
      <c r="C535" s="27"/>
      <c r="D535" s="27"/>
      <c r="E535" s="131"/>
      <c r="F535" s="131"/>
      <c r="G535" s="132"/>
      <c r="H535" s="133"/>
      <c r="I535" s="133"/>
      <c r="J535" s="132"/>
      <c r="K535" s="137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>
      <c r="A536" s="2"/>
      <c r="B536" s="27"/>
      <c r="C536" s="27"/>
      <c r="D536" s="27"/>
      <c r="E536" s="131"/>
      <c r="F536" s="131"/>
      <c r="G536" s="132"/>
      <c r="H536" s="133"/>
      <c r="I536" s="133"/>
      <c r="J536" s="132"/>
      <c r="K536" s="137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>
      <c r="A537" s="2"/>
      <c r="B537" s="27"/>
      <c r="C537" s="27"/>
      <c r="D537" s="27"/>
      <c r="E537" s="131"/>
      <c r="F537" s="131"/>
      <c r="G537" s="132"/>
      <c r="H537" s="133"/>
      <c r="I537" s="133"/>
      <c r="J537" s="132"/>
      <c r="K537" s="137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>
      <c r="A538" s="2"/>
      <c r="B538" s="27"/>
      <c r="C538" s="27"/>
      <c r="D538" s="27"/>
      <c r="E538" s="131"/>
      <c r="F538" s="131"/>
      <c r="G538" s="132"/>
      <c r="H538" s="133"/>
      <c r="I538" s="133"/>
      <c r="J538" s="132"/>
      <c r="K538" s="13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>
      <c r="A539" s="2"/>
      <c r="B539" s="27"/>
      <c r="C539" s="27"/>
      <c r="D539" s="27"/>
      <c r="E539" s="131"/>
      <c r="F539" s="131"/>
      <c r="G539" s="132"/>
      <c r="H539" s="133"/>
      <c r="I539" s="133"/>
      <c r="J539" s="132"/>
      <c r="K539" s="13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>
      <c r="A540" s="2"/>
      <c r="B540" s="27"/>
      <c r="C540" s="27"/>
      <c r="D540" s="27"/>
      <c r="E540" s="131"/>
      <c r="F540" s="131"/>
      <c r="G540" s="132"/>
      <c r="H540" s="133"/>
      <c r="I540" s="133"/>
      <c r="J540" s="132"/>
      <c r="K540" s="137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>
      <c r="A541" s="2"/>
      <c r="B541" s="27"/>
      <c r="C541" s="27"/>
      <c r="D541" s="27"/>
      <c r="E541" s="131"/>
      <c r="F541" s="131"/>
      <c r="G541" s="132"/>
      <c r="H541" s="133"/>
      <c r="I541" s="133"/>
      <c r="J541" s="132"/>
      <c r="K541" s="137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>
      <c r="A542" s="2"/>
      <c r="B542" s="27"/>
      <c r="C542" s="27"/>
      <c r="D542" s="27"/>
      <c r="E542" s="131"/>
      <c r="F542" s="131"/>
      <c r="G542" s="132"/>
      <c r="H542" s="133"/>
      <c r="I542" s="133"/>
      <c r="J542" s="132"/>
      <c r="K542" s="137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>
      <c r="A543" s="2"/>
      <c r="B543" s="27"/>
      <c r="C543" s="27"/>
      <c r="D543" s="27"/>
      <c r="E543" s="131"/>
      <c r="F543" s="131"/>
      <c r="G543" s="132"/>
      <c r="H543" s="133"/>
      <c r="I543" s="133"/>
      <c r="J543" s="132"/>
      <c r="K543" s="137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>
      <c r="A544" s="2"/>
      <c r="B544" s="27"/>
      <c r="C544" s="27"/>
      <c r="D544" s="27"/>
      <c r="E544" s="131"/>
      <c r="F544" s="131"/>
      <c r="G544" s="132"/>
      <c r="H544" s="133"/>
      <c r="I544" s="133"/>
      <c r="J544" s="132"/>
      <c r="K544" s="137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>
      <c r="A545" s="2"/>
      <c r="B545" s="27"/>
      <c r="C545" s="27"/>
      <c r="D545" s="27"/>
      <c r="E545" s="131"/>
      <c r="F545" s="131"/>
      <c r="G545" s="132"/>
      <c r="H545" s="133"/>
      <c r="I545" s="133"/>
      <c r="J545" s="132"/>
      <c r="K545" s="137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>
      <c r="A546" s="2"/>
      <c r="B546" s="27"/>
      <c r="C546" s="27"/>
      <c r="D546" s="27"/>
      <c r="E546" s="131"/>
      <c r="F546" s="131"/>
      <c r="G546" s="132"/>
      <c r="H546" s="133"/>
      <c r="I546" s="133"/>
      <c r="J546" s="132"/>
      <c r="K546" s="137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>
      <c r="A547" s="2"/>
      <c r="B547" s="27"/>
      <c r="C547" s="27"/>
      <c r="D547" s="27"/>
      <c r="E547" s="131"/>
      <c r="F547" s="131"/>
      <c r="G547" s="132"/>
      <c r="H547" s="133"/>
      <c r="I547" s="133"/>
      <c r="J547" s="132"/>
      <c r="K547" s="137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>
      <c r="A548" s="2"/>
      <c r="B548" s="27"/>
      <c r="C548" s="27"/>
      <c r="D548" s="27"/>
      <c r="E548" s="131"/>
      <c r="F548" s="131"/>
      <c r="G548" s="132"/>
      <c r="H548" s="133"/>
      <c r="I548" s="133"/>
      <c r="J548" s="132"/>
      <c r="K548" s="137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>
      <c r="A549" s="2"/>
      <c r="B549" s="27"/>
      <c r="C549" s="27"/>
      <c r="D549" s="27"/>
      <c r="E549" s="131"/>
      <c r="F549" s="131"/>
      <c r="G549" s="132"/>
      <c r="H549" s="133"/>
      <c r="I549" s="133"/>
      <c r="J549" s="132"/>
      <c r="K549" s="137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>
      <c r="A550" s="2"/>
      <c r="B550" s="27"/>
      <c r="C550" s="27"/>
      <c r="D550" s="27"/>
      <c r="E550" s="131"/>
      <c r="F550" s="131"/>
      <c r="G550" s="132"/>
      <c r="H550" s="133"/>
      <c r="I550" s="133"/>
      <c r="J550" s="132"/>
      <c r="K550" s="137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>
      <c r="A551" s="2"/>
      <c r="B551" s="27"/>
      <c r="C551" s="27"/>
      <c r="D551" s="27"/>
      <c r="E551" s="131"/>
      <c r="F551" s="131"/>
      <c r="G551" s="132"/>
      <c r="H551" s="133"/>
      <c r="I551" s="133"/>
      <c r="J551" s="132"/>
      <c r="K551" s="137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>
      <c r="A552" s="2"/>
      <c r="B552" s="27"/>
      <c r="C552" s="27"/>
      <c r="D552" s="27"/>
      <c r="E552" s="131"/>
      <c r="F552" s="131"/>
      <c r="G552" s="132"/>
      <c r="H552" s="133"/>
      <c r="I552" s="133"/>
      <c r="J552" s="132"/>
      <c r="K552" s="137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>
      <c r="A553" s="2"/>
      <c r="B553" s="27"/>
      <c r="C553" s="27"/>
      <c r="D553" s="27"/>
      <c r="E553" s="131"/>
      <c r="F553" s="131"/>
      <c r="G553" s="132"/>
      <c r="H553" s="133"/>
      <c r="I553" s="133"/>
      <c r="J553" s="132"/>
      <c r="K553" s="137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>
      <c r="A554" s="2"/>
      <c r="B554" s="27"/>
      <c r="C554" s="27"/>
      <c r="D554" s="27"/>
      <c r="E554" s="131"/>
      <c r="F554" s="131"/>
      <c r="G554" s="132"/>
      <c r="H554" s="133"/>
      <c r="I554" s="133"/>
      <c r="J554" s="132"/>
      <c r="K554" s="137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>
      <c r="A555" s="2"/>
      <c r="B555" s="27"/>
      <c r="C555" s="27"/>
      <c r="D555" s="27"/>
      <c r="E555" s="131"/>
      <c r="F555" s="131"/>
      <c r="G555" s="132"/>
      <c r="H555" s="133"/>
      <c r="I555" s="133"/>
      <c r="J555" s="132"/>
      <c r="K555" s="137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>
      <c r="A556" s="2"/>
      <c r="B556" s="27"/>
      <c r="C556" s="27"/>
      <c r="D556" s="27"/>
      <c r="E556" s="131"/>
      <c r="F556" s="131"/>
      <c r="G556" s="132"/>
      <c r="H556" s="133"/>
      <c r="I556" s="133"/>
      <c r="J556" s="132"/>
      <c r="K556" s="137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>
      <c r="A557" s="2"/>
      <c r="B557" s="27"/>
      <c r="C557" s="27"/>
      <c r="D557" s="27"/>
      <c r="E557" s="131"/>
      <c r="F557" s="131"/>
      <c r="G557" s="132"/>
      <c r="H557" s="133"/>
      <c r="I557" s="133"/>
      <c r="J557" s="132"/>
      <c r="K557" s="137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>
      <c r="A558" s="2"/>
      <c r="B558" s="27"/>
      <c r="C558" s="27"/>
      <c r="D558" s="27"/>
      <c r="E558" s="131"/>
      <c r="F558" s="131"/>
      <c r="G558" s="132"/>
      <c r="H558" s="133"/>
      <c r="I558" s="133"/>
      <c r="J558" s="132"/>
      <c r="K558" s="137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>
      <c r="A559" s="2"/>
      <c r="B559" s="27"/>
      <c r="C559" s="27"/>
      <c r="D559" s="27"/>
      <c r="E559" s="131"/>
      <c r="F559" s="131"/>
      <c r="G559" s="132"/>
      <c r="H559" s="133"/>
      <c r="I559" s="133"/>
      <c r="J559" s="132"/>
      <c r="K559" s="137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>
      <c r="A560" s="2"/>
      <c r="B560" s="27"/>
      <c r="C560" s="27"/>
      <c r="D560" s="27"/>
      <c r="E560" s="131"/>
      <c r="F560" s="131"/>
      <c r="G560" s="132"/>
      <c r="H560" s="133"/>
      <c r="I560" s="133"/>
      <c r="J560" s="132"/>
      <c r="K560" s="137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>
      <c r="A561" s="2"/>
      <c r="B561" s="27"/>
      <c r="C561" s="27"/>
      <c r="D561" s="27"/>
      <c r="E561" s="131"/>
      <c r="F561" s="131"/>
      <c r="G561" s="132"/>
      <c r="H561" s="133"/>
      <c r="I561" s="133"/>
      <c r="J561" s="132"/>
      <c r="K561" s="137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>
      <c r="A562" s="2"/>
      <c r="B562" s="27"/>
      <c r="C562" s="27"/>
      <c r="D562" s="27"/>
      <c r="E562" s="131"/>
      <c r="F562" s="131"/>
      <c r="G562" s="132"/>
      <c r="H562" s="133"/>
      <c r="I562" s="133"/>
      <c r="J562" s="132"/>
      <c r="K562" s="137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>
      <c r="A563" s="2"/>
      <c r="B563" s="27"/>
      <c r="C563" s="27"/>
      <c r="D563" s="27"/>
      <c r="E563" s="131"/>
      <c r="F563" s="131"/>
      <c r="G563" s="132"/>
      <c r="H563" s="133"/>
      <c r="I563" s="133"/>
      <c r="J563" s="132"/>
      <c r="K563" s="137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>
      <c r="A564" s="2"/>
      <c r="B564" s="27"/>
      <c r="C564" s="27"/>
      <c r="D564" s="27"/>
      <c r="E564" s="131"/>
      <c r="F564" s="131"/>
      <c r="G564" s="132"/>
      <c r="H564" s="133"/>
      <c r="I564" s="133"/>
      <c r="J564" s="132"/>
      <c r="K564" s="137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>
      <c r="A565" s="2"/>
      <c r="B565" s="27"/>
      <c r="C565" s="27"/>
      <c r="D565" s="27"/>
      <c r="E565" s="131"/>
      <c r="F565" s="131"/>
      <c r="G565" s="132"/>
      <c r="H565" s="133"/>
      <c r="I565" s="133"/>
      <c r="J565" s="132"/>
      <c r="K565" s="137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>
      <c r="A566" s="2"/>
      <c r="B566" s="27"/>
      <c r="C566" s="27"/>
      <c r="D566" s="27"/>
      <c r="E566" s="131"/>
      <c r="F566" s="131"/>
      <c r="G566" s="132"/>
      <c r="H566" s="133"/>
      <c r="I566" s="133"/>
      <c r="J566" s="132"/>
      <c r="K566" s="137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>
      <c r="A567" s="2"/>
      <c r="B567" s="27"/>
      <c r="C567" s="27"/>
      <c r="D567" s="27"/>
      <c r="E567" s="131"/>
      <c r="F567" s="131"/>
      <c r="G567" s="132"/>
      <c r="H567" s="133"/>
      <c r="I567" s="133"/>
      <c r="J567" s="132"/>
      <c r="K567" s="137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>
      <c r="A568" s="2"/>
      <c r="B568" s="27"/>
      <c r="C568" s="27"/>
      <c r="D568" s="27"/>
      <c r="E568" s="131"/>
      <c r="F568" s="131"/>
      <c r="G568" s="132"/>
      <c r="H568" s="133"/>
      <c r="I568" s="133"/>
      <c r="J568" s="132"/>
      <c r="K568" s="137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>
      <c r="A569" s="2"/>
      <c r="B569" s="27"/>
      <c r="C569" s="27"/>
      <c r="D569" s="27"/>
      <c r="E569" s="131"/>
      <c r="F569" s="131"/>
      <c r="G569" s="132"/>
      <c r="H569" s="133"/>
      <c r="I569" s="133"/>
      <c r="J569" s="132"/>
      <c r="K569" s="137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>
      <c r="A570" s="2"/>
      <c r="B570" s="27"/>
      <c r="C570" s="27"/>
      <c r="D570" s="27"/>
      <c r="E570" s="131"/>
      <c r="F570" s="131"/>
      <c r="G570" s="132"/>
      <c r="H570" s="133"/>
      <c r="I570" s="133"/>
      <c r="J570" s="132"/>
      <c r="K570" s="137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>
      <c r="A571" s="2"/>
      <c r="B571" s="27"/>
      <c r="C571" s="27"/>
      <c r="D571" s="27"/>
      <c r="E571" s="131"/>
      <c r="F571" s="131"/>
      <c r="G571" s="132"/>
      <c r="H571" s="133"/>
      <c r="I571" s="133"/>
      <c r="J571" s="132"/>
      <c r="K571" s="137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>
      <c r="A572" s="2"/>
      <c r="B572" s="27"/>
      <c r="C572" s="27"/>
      <c r="D572" s="27"/>
      <c r="E572" s="131"/>
      <c r="F572" s="131"/>
      <c r="G572" s="132"/>
      <c r="H572" s="133"/>
      <c r="I572" s="133"/>
      <c r="J572" s="132"/>
      <c r="K572" s="137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>
      <c r="A573" s="2"/>
      <c r="B573" s="27"/>
      <c r="C573" s="27"/>
      <c r="D573" s="27"/>
      <c r="E573" s="131"/>
      <c r="F573" s="131"/>
      <c r="G573" s="132"/>
      <c r="H573" s="133"/>
      <c r="I573" s="133"/>
      <c r="J573" s="132"/>
      <c r="K573" s="137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>
      <c r="A574" s="2"/>
      <c r="B574" s="27"/>
      <c r="C574" s="27"/>
      <c r="D574" s="27"/>
      <c r="E574" s="131"/>
      <c r="F574" s="131"/>
      <c r="G574" s="132"/>
      <c r="H574" s="133"/>
      <c r="I574" s="133"/>
      <c r="J574" s="132"/>
      <c r="K574" s="137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>
      <c r="A575" s="2"/>
      <c r="B575" s="27"/>
      <c r="C575" s="27"/>
      <c r="D575" s="27"/>
      <c r="E575" s="131"/>
      <c r="F575" s="131"/>
      <c r="G575" s="132"/>
      <c r="H575" s="133"/>
      <c r="I575" s="133"/>
      <c r="J575" s="132"/>
      <c r="K575" s="137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>
      <c r="A576" s="2"/>
      <c r="B576" s="27"/>
      <c r="C576" s="27"/>
      <c r="D576" s="27"/>
      <c r="E576" s="131"/>
      <c r="F576" s="131"/>
      <c r="G576" s="132"/>
      <c r="H576" s="133"/>
      <c r="I576" s="133"/>
      <c r="J576" s="132"/>
      <c r="K576" s="137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>
      <c r="A577" s="2"/>
      <c r="B577" s="27"/>
      <c r="C577" s="27"/>
      <c r="D577" s="27"/>
      <c r="E577" s="131"/>
      <c r="F577" s="131"/>
      <c r="G577" s="132"/>
      <c r="H577" s="133"/>
      <c r="I577" s="133"/>
      <c r="J577" s="132"/>
      <c r="K577" s="137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>
      <c r="A578" s="2"/>
      <c r="B578" s="27"/>
      <c r="C578" s="27"/>
      <c r="D578" s="27"/>
      <c r="E578" s="131"/>
      <c r="F578" s="131"/>
      <c r="G578" s="132"/>
      <c r="H578" s="133"/>
      <c r="I578" s="133"/>
      <c r="J578" s="132"/>
      <c r="K578" s="137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>
      <c r="A579" s="2"/>
      <c r="B579" s="27"/>
      <c r="C579" s="27"/>
      <c r="D579" s="27"/>
      <c r="E579" s="131"/>
      <c r="F579" s="131"/>
      <c r="G579" s="132"/>
      <c r="H579" s="133"/>
      <c r="I579" s="133"/>
      <c r="J579" s="132"/>
      <c r="K579" s="137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>
      <c r="A580" s="2"/>
      <c r="B580" s="27"/>
      <c r="C580" s="27"/>
      <c r="D580" s="27"/>
      <c r="E580" s="131"/>
      <c r="F580" s="131"/>
      <c r="G580" s="132"/>
      <c r="H580" s="133"/>
      <c r="I580" s="133"/>
      <c r="J580" s="132"/>
      <c r="K580" s="137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>
      <c r="A581" s="2"/>
      <c r="B581" s="27"/>
      <c r="C581" s="27"/>
      <c r="D581" s="27"/>
      <c r="E581" s="131"/>
      <c r="F581" s="131"/>
      <c r="G581" s="132"/>
      <c r="H581" s="133"/>
      <c r="I581" s="133"/>
      <c r="J581" s="132"/>
      <c r="K581" s="137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>
      <c r="A582" s="2"/>
      <c r="B582" s="27"/>
      <c r="C582" s="27"/>
      <c r="D582" s="27"/>
      <c r="E582" s="131"/>
      <c r="F582" s="131"/>
      <c r="G582" s="132"/>
      <c r="H582" s="133"/>
      <c r="I582" s="133"/>
      <c r="J582" s="132"/>
      <c r="K582" s="137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>
      <c r="A583" s="2"/>
      <c r="B583" s="27"/>
      <c r="C583" s="27"/>
      <c r="D583" s="27"/>
      <c r="E583" s="131"/>
      <c r="F583" s="131"/>
      <c r="G583" s="132"/>
      <c r="H583" s="133"/>
      <c r="I583" s="133"/>
      <c r="J583" s="132"/>
      <c r="K583" s="137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>
      <c r="A584" s="2"/>
      <c r="B584" s="27"/>
      <c r="C584" s="27"/>
      <c r="D584" s="27"/>
      <c r="E584" s="131"/>
      <c r="F584" s="131"/>
      <c r="G584" s="132"/>
      <c r="H584" s="133"/>
      <c r="I584" s="133"/>
      <c r="J584" s="132"/>
      <c r="K584" s="137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>
      <c r="A585" s="2"/>
      <c r="B585" s="27"/>
      <c r="C585" s="27"/>
      <c r="D585" s="27"/>
      <c r="E585" s="131"/>
      <c r="F585" s="131"/>
      <c r="G585" s="132"/>
      <c r="H585" s="133"/>
      <c r="I585" s="133"/>
      <c r="J585" s="132"/>
      <c r="K585" s="137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>
      <c r="A586" s="2"/>
      <c r="B586" s="27"/>
      <c r="C586" s="27"/>
      <c r="D586" s="27"/>
      <c r="E586" s="131"/>
      <c r="F586" s="131"/>
      <c r="G586" s="132"/>
      <c r="H586" s="133"/>
      <c r="I586" s="133"/>
      <c r="J586" s="132"/>
      <c r="K586" s="137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>
      <c r="A587" s="2"/>
      <c r="B587" s="27"/>
      <c r="C587" s="27"/>
      <c r="D587" s="27"/>
      <c r="E587" s="131"/>
      <c r="F587" s="131"/>
      <c r="G587" s="132"/>
      <c r="H587" s="133"/>
      <c r="I587" s="133"/>
      <c r="J587" s="132"/>
      <c r="K587" s="137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>
      <c r="A588" s="2"/>
      <c r="B588" s="27"/>
      <c r="C588" s="27"/>
      <c r="D588" s="27"/>
      <c r="E588" s="131"/>
      <c r="F588" s="131"/>
      <c r="G588" s="132"/>
      <c r="H588" s="133"/>
      <c r="I588" s="133"/>
      <c r="J588" s="132"/>
      <c r="K588" s="137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>
      <c r="A589" s="2"/>
      <c r="B589" s="27"/>
      <c r="C589" s="27"/>
      <c r="D589" s="27"/>
      <c r="E589" s="131"/>
      <c r="F589" s="131"/>
      <c r="G589" s="132"/>
      <c r="H589" s="133"/>
      <c r="I589" s="133"/>
      <c r="J589" s="132"/>
      <c r="K589" s="137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>
      <c r="A590" s="2"/>
      <c r="B590" s="27"/>
      <c r="C590" s="27"/>
      <c r="D590" s="27"/>
      <c r="E590" s="131"/>
      <c r="F590" s="131"/>
      <c r="G590" s="132"/>
      <c r="H590" s="133"/>
      <c r="I590" s="133"/>
      <c r="J590" s="132"/>
      <c r="K590" s="137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>
      <c r="A591" s="2"/>
      <c r="B591" s="27"/>
      <c r="C591" s="27"/>
      <c r="D591" s="27"/>
      <c r="E591" s="131"/>
      <c r="F591" s="131"/>
      <c r="G591" s="132"/>
      <c r="H591" s="133"/>
      <c r="I591" s="133"/>
      <c r="J591" s="132"/>
      <c r="K591" s="137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>
      <c r="A592" s="2"/>
      <c r="B592" s="27"/>
      <c r="C592" s="27"/>
      <c r="D592" s="27"/>
      <c r="E592" s="131"/>
      <c r="F592" s="131"/>
      <c r="G592" s="132"/>
      <c r="H592" s="133"/>
      <c r="I592" s="133"/>
      <c r="J592" s="132"/>
      <c r="K592" s="137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>
      <c r="A593" s="2"/>
      <c r="B593" s="27"/>
      <c r="C593" s="27"/>
      <c r="D593" s="27"/>
      <c r="E593" s="131"/>
      <c r="F593" s="131"/>
      <c r="G593" s="132"/>
      <c r="H593" s="133"/>
      <c r="I593" s="133"/>
      <c r="J593" s="132"/>
      <c r="K593" s="137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>
      <c r="A594" s="2"/>
      <c r="B594" s="142"/>
      <c r="C594" s="131"/>
      <c r="D594" s="131"/>
      <c r="E594" s="131"/>
      <c r="F594" s="131"/>
      <c r="G594" s="132"/>
      <c r="H594" s="133"/>
      <c r="I594" s="133"/>
      <c r="J594" s="132"/>
      <c r="K594" s="137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>
      <c r="A595" s="2"/>
      <c r="B595" s="142"/>
      <c r="C595" s="131"/>
      <c r="D595" s="131"/>
      <c r="E595" s="131"/>
      <c r="F595" s="131"/>
      <c r="G595" s="132"/>
      <c r="H595" s="133"/>
      <c r="I595" s="133"/>
      <c r="J595" s="132"/>
      <c r="K595" s="137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>
      <c r="A596" s="2"/>
      <c r="B596" s="142"/>
      <c r="C596" s="131"/>
      <c r="D596" s="131"/>
      <c r="E596" s="131"/>
      <c r="F596" s="131"/>
      <c r="G596" s="132"/>
      <c r="H596" s="133"/>
      <c r="I596" s="133"/>
      <c r="J596" s="132"/>
      <c r="K596" s="137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>
      <c r="A597" s="2"/>
      <c r="B597" s="142"/>
      <c r="C597" s="131"/>
      <c r="D597" s="131"/>
      <c r="E597" s="131"/>
      <c r="F597" s="131"/>
      <c r="G597" s="132"/>
      <c r="H597" s="133"/>
      <c r="I597" s="133"/>
      <c r="J597" s="132"/>
      <c r="K597" s="137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>
      <c r="A598" s="2"/>
      <c r="B598" s="142"/>
      <c r="C598" s="131"/>
      <c r="D598" s="131"/>
      <c r="E598" s="131"/>
      <c r="F598" s="131"/>
      <c r="G598" s="132"/>
      <c r="H598" s="133"/>
      <c r="I598" s="133"/>
      <c r="J598" s="132"/>
      <c r="K598" s="137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>
      <c r="A599" s="2"/>
      <c r="B599" s="142"/>
      <c r="C599" s="131"/>
      <c r="D599" s="131"/>
      <c r="E599" s="131"/>
      <c r="F599" s="131"/>
      <c r="G599" s="132"/>
      <c r="H599" s="133"/>
      <c r="I599" s="133"/>
      <c r="J599" s="132"/>
      <c r="K599" s="137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>
      <c r="A600" s="2"/>
      <c r="B600" s="142"/>
      <c r="C600" s="131"/>
      <c r="D600" s="131"/>
      <c r="E600" s="131"/>
      <c r="F600" s="131"/>
      <c r="G600" s="132"/>
      <c r="H600" s="133"/>
      <c r="I600" s="133"/>
      <c r="J600" s="132"/>
      <c r="K600" s="137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>
      <c r="A601" s="2"/>
      <c r="B601" s="142"/>
      <c r="C601" s="131"/>
      <c r="D601" s="131"/>
      <c r="E601" s="131"/>
      <c r="F601" s="131"/>
      <c r="G601" s="132"/>
      <c r="H601" s="133"/>
      <c r="I601" s="133"/>
      <c r="J601" s="132"/>
      <c r="K601" s="137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>
      <c r="A602" s="2"/>
      <c r="B602" s="142"/>
      <c r="C602" s="131"/>
      <c r="D602" s="131"/>
      <c r="E602" s="131"/>
      <c r="F602" s="131"/>
      <c r="G602" s="132"/>
      <c r="H602" s="133"/>
      <c r="I602" s="133"/>
      <c r="J602" s="132"/>
      <c r="K602" s="137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>
      <c r="A603" s="2"/>
      <c r="B603" s="142"/>
      <c r="C603" s="131"/>
      <c r="D603" s="131"/>
      <c r="E603" s="131"/>
      <c r="F603" s="131"/>
      <c r="G603" s="132"/>
      <c r="H603" s="133"/>
      <c r="I603" s="133"/>
      <c r="J603" s="132"/>
      <c r="K603" s="137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>
      <c r="A604" s="2"/>
      <c r="B604" s="142"/>
      <c r="C604" s="131"/>
      <c r="D604" s="131"/>
      <c r="E604" s="131"/>
      <c r="F604" s="131"/>
      <c r="G604" s="132"/>
      <c r="H604" s="133"/>
      <c r="I604" s="133"/>
      <c r="J604" s="132"/>
      <c r="K604" s="137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>
      <c r="A605" s="2"/>
      <c r="B605" s="142"/>
      <c r="C605" s="131"/>
      <c r="D605" s="131"/>
      <c r="E605" s="131"/>
      <c r="F605" s="131"/>
      <c r="G605" s="132"/>
      <c r="H605" s="133"/>
      <c r="I605" s="133"/>
      <c r="J605" s="132"/>
      <c r="K605" s="137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>
      <c r="A606" s="2"/>
      <c r="B606" s="142"/>
      <c r="C606" s="131"/>
      <c r="D606" s="131"/>
      <c r="E606" s="131"/>
      <c r="F606" s="131"/>
      <c r="G606" s="132"/>
      <c r="H606" s="133"/>
      <c r="I606" s="133"/>
      <c r="J606" s="132"/>
      <c r="K606" s="137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>
      <c r="A607" s="2"/>
      <c r="B607" s="142"/>
      <c r="C607" s="131"/>
      <c r="D607" s="131"/>
      <c r="E607" s="131"/>
      <c r="F607" s="131"/>
      <c r="G607" s="132"/>
      <c r="H607" s="133"/>
      <c r="I607" s="133"/>
      <c r="J607" s="132"/>
      <c r="K607" s="137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>
      <c r="A608" s="2"/>
      <c r="B608" s="142"/>
      <c r="C608" s="131"/>
      <c r="D608" s="131"/>
      <c r="E608" s="131"/>
      <c r="F608" s="131"/>
      <c r="G608" s="132"/>
      <c r="H608" s="133"/>
      <c r="I608" s="133"/>
      <c r="J608" s="132"/>
      <c r="K608" s="137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>
      <c r="A609" s="2"/>
      <c r="B609" s="142"/>
      <c r="C609" s="131"/>
      <c r="D609" s="131"/>
      <c r="E609" s="131"/>
      <c r="F609" s="131"/>
      <c r="G609" s="132"/>
      <c r="H609" s="133"/>
      <c r="I609" s="133"/>
      <c r="J609" s="132"/>
      <c r="K609" s="137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>
      <c r="A610" s="2"/>
      <c r="B610" s="142"/>
      <c r="C610" s="131"/>
      <c r="D610" s="131"/>
      <c r="E610" s="131"/>
      <c r="F610" s="131"/>
      <c r="G610" s="132"/>
      <c r="H610" s="133"/>
      <c r="I610" s="133"/>
      <c r="J610" s="132"/>
      <c r="K610" s="137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>
      <c r="A611" s="2"/>
      <c r="B611" s="142"/>
      <c r="C611" s="131"/>
      <c r="D611" s="131"/>
      <c r="E611" s="131"/>
      <c r="F611" s="131"/>
      <c r="G611" s="132"/>
      <c r="H611" s="133"/>
      <c r="I611" s="133"/>
      <c r="J611" s="132"/>
      <c r="K611" s="137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>
      <c r="A612" s="2"/>
      <c r="B612" s="142"/>
      <c r="C612" s="131"/>
      <c r="D612" s="131"/>
      <c r="E612" s="131"/>
      <c r="F612" s="131"/>
      <c r="G612" s="132"/>
      <c r="H612" s="133"/>
      <c r="I612" s="133"/>
      <c r="J612" s="132"/>
      <c r="K612" s="137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>
      <c r="A613" s="2"/>
      <c r="B613" s="142"/>
      <c r="C613" s="131"/>
      <c r="D613" s="131"/>
      <c r="E613" s="131"/>
      <c r="F613" s="131"/>
      <c r="G613" s="132"/>
      <c r="H613" s="133"/>
      <c r="I613" s="133"/>
      <c r="J613" s="132"/>
      <c r="K613" s="137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>
      <c r="A614" s="2"/>
      <c r="B614" s="142"/>
      <c r="C614" s="131"/>
      <c r="D614" s="131"/>
      <c r="E614" s="131"/>
      <c r="F614" s="131"/>
      <c r="G614" s="132"/>
      <c r="H614" s="133"/>
      <c r="I614" s="133"/>
      <c r="J614" s="132"/>
      <c r="K614" s="137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>
      <c r="A615" s="2"/>
      <c r="B615" s="142"/>
      <c r="C615" s="131"/>
      <c r="D615" s="131"/>
      <c r="E615" s="131"/>
      <c r="F615" s="131"/>
      <c r="G615" s="132"/>
      <c r="H615" s="133"/>
      <c r="I615" s="133"/>
      <c r="J615" s="132"/>
      <c r="K615" s="137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>
      <c r="A616" s="2"/>
      <c r="B616" s="142"/>
      <c r="C616" s="131"/>
      <c r="D616" s="131"/>
      <c r="E616" s="131"/>
      <c r="F616" s="131"/>
      <c r="G616" s="132"/>
      <c r="H616" s="133"/>
      <c r="I616" s="133"/>
      <c r="J616" s="132"/>
      <c r="K616" s="137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>
      <c r="A617" s="2"/>
      <c r="B617" s="142"/>
      <c r="C617" s="131"/>
      <c r="D617" s="131"/>
      <c r="E617" s="131"/>
      <c r="F617" s="131"/>
      <c r="G617" s="132"/>
      <c r="H617" s="133"/>
      <c r="I617" s="133"/>
      <c r="J617" s="132"/>
      <c r="K617" s="137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>
      <c r="A618" s="2"/>
      <c r="B618" s="142"/>
      <c r="C618" s="131"/>
      <c r="D618" s="131"/>
      <c r="E618" s="131"/>
      <c r="F618" s="131"/>
      <c r="G618" s="132"/>
      <c r="H618" s="133"/>
      <c r="I618" s="133"/>
      <c r="J618" s="132"/>
      <c r="K618" s="137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>
      <c r="A619" s="2"/>
      <c r="B619" s="142"/>
      <c r="C619" s="131"/>
      <c r="D619" s="131"/>
      <c r="E619" s="131"/>
      <c r="F619" s="131"/>
      <c r="G619" s="132"/>
      <c r="H619" s="133"/>
      <c r="I619" s="133"/>
      <c r="J619" s="132"/>
      <c r="K619" s="137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>
      <c r="A620" s="2"/>
      <c r="B620" s="142"/>
      <c r="C620" s="131"/>
      <c r="D620" s="131"/>
      <c r="E620" s="131"/>
      <c r="F620" s="131"/>
      <c r="G620" s="132"/>
      <c r="H620" s="133"/>
      <c r="I620" s="133"/>
      <c r="J620" s="132"/>
      <c r="K620" s="137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>
      <c r="A621" s="2"/>
      <c r="B621" s="142"/>
      <c r="C621" s="131"/>
      <c r="D621" s="131"/>
      <c r="E621" s="131"/>
      <c r="F621" s="131"/>
      <c r="G621" s="132"/>
      <c r="H621" s="133"/>
      <c r="I621" s="133"/>
      <c r="J621" s="132"/>
      <c r="K621" s="137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>
      <c r="A622" s="2"/>
      <c r="B622" s="142"/>
      <c r="C622" s="131"/>
      <c r="D622" s="131"/>
      <c r="E622" s="131"/>
      <c r="F622" s="131"/>
      <c r="G622" s="132"/>
      <c r="H622" s="133"/>
      <c r="I622" s="133"/>
      <c r="J622" s="132"/>
      <c r="K622" s="137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>
      <c r="A623" s="2"/>
      <c r="B623" s="142"/>
      <c r="C623" s="131"/>
      <c r="D623" s="131"/>
      <c r="E623" s="131"/>
      <c r="F623" s="131"/>
      <c r="G623" s="132"/>
      <c r="H623" s="133"/>
      <c r="I623" s="133"/>
      <c r="J623" s="132"/>
      <c r="K623" s="137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>
      <c r="A624" s="2"/>
      <c r="B624" s="142"/>
      <c r="C624" s="131"/>
      <c r="D624" s="131"/>
      <c r="E624" s="131"/>
      <c r="F624" s="131"/>
      <c r="G624" s="132"/>
      <c r="H624" s="133"/>
      <c r="I624" s="133"/>
      <c r="J624" s="132"/>
      <c r="K624" s="137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>
      <c r="A625" s="2"/>
      <c r="B625" s="142"/>
      <c r="C625" s="131"/>
      <c r="D625" s="131"/>
      <c r="E625" s="131"/>
      <c r="F625" s="131"/>
      <c r="G625" s="132"/>
      <c r="H625" s="133"/>
      <c r="I625" s="133"/>
      <c r="J625" s="132"/>
      <c r="K625" s="137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>
      <c r="A626" s="2"/>
      <c r="B626" s="142"/>
      <c r="C626" s="131"/>
      <c r="D626" s="131"/>
      <c r="E626" s="131"/>
      <c r="F626" s="131"/>
      <c r="G626" s="132"/>
      <c r="H626" s="133"/>
      <c r="I626" s="133"/>
      <c r="J626" s="132"/>
      <c r="K626" s="137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>
      <c r="A627" s="2"/>
      <c r="B627" s="142"/>
      <c r="C627" s="131"/>
      <c r="D627" s="131"/>
      <c r="E627" s="131"/>
      <c r="F627" s="131"/>
      <c r="G627" s="132"/>
      <c r="H627" s="133"/>
      <c r="I627" s="133"/>
      <c r="J627" s="132"/>
      <c r="K627" s="137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>
      <c r="A628" s="2"/>
      <c r="B628" s="142"/>
      <c r="C628" s="131"/>
      <c r="D628" s="131"/>
      <c r="E628" s="131"/>
      <c r="F628" s="131"/>
      <c r="G628" s="132"/>
      <c r="H628" s="133"/>
      <c r="I628" s="133"/>
      <c r="J628" s="132"/>
      <c r="K628" s="137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>
      <c r="A629" s="2"/>
      <c r="B629" s="142"/>
      <c r="C629" s="131"/>
      <c r="D629" s="131"/>
      <c r="E629" s="131"/>
      <c r="F629" s="131"/>
      <c r="G629" s="132"/>
      <c r="H629" s="133"/>
      <c r="I629" s="133"/>
      <c r="J629" s="132"/>
      <c r="K629" s="137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>
      <c r="A630" s="2"/>
      <c r="B630" s="142"/>
      <c r="C630" s="131"/>
      <c r="D630" s="131"/>
      <c r="E630" s="131"/>
      <c r="F630" s="131"/>
      <c r="G630" s="132"/>
      <c r="H630" s="133"/>
      <c r="I630" s="133"/>
      <c r="J630" s="132"/>
      <c r="K630" s="137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>
      <c r="A631" s="2"/>
      <c r="B631" s="142"/>
      <c r="C631" s="131"/>
      <c r="D631" s="131"/>
      <c r="E631" s="131"/>
      <c r="F631" s="131"/>
      <c r="G631" s="132"/>
      <c r="H631" s="133"/>
      <c r="I631" s="133"/>
      <c r="J631" s="132"/>
      <c r="K631" s="137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>
      <c r="A632" s="2"/>
      <c r="B632" s="142"/>
      <c r="C632" s="131"/>
      <c r="D632" s="131"/>
      <c r="E632" s="131"/>
      <c r="F632" s="131"/>
      <c r="G632" s="132"/>
      <c r="H632" s="133"/>
      <c r="I632" s="133"/>
      <c r="J632" s="132"/>
      <c r="K632" s="137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>
      <c r="A633" s="2"/>
      <c r="B633" s="142"/>
      <c r="C633" s="131"/>
      <c r="D633" s="131"/>
      <c r="E633" s="131"/>
      <c r="F633" s="131"/>
      <c r="G633" s="132"/>
      <c r="H633" s="133"/>
      <c r="I633" s="133"/>
      <c r="J633" s="132"/>
      <c r="K633" s="137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>
      <c r="A634" s="2"/>
      <c r="B634" s="142"/>
      <c r="C634" s="131"/>
      <c r="D634" s="131"/>
      <c r="E634" s="131"/>
      <c r="F634" s="131"/>
      <c r="G634" s="132"/>
      <c r="H634" s="133"/>
      <c r="I634" s="133"/>
      <c r="J634" s="132"/>
      <c r="K634" s="137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>
      <c r="A635" s="2"/>
      <c r="B635" s="142"/>
      <c r="C635" s="131"/>
      <c r="D635" s="131"/>
      <c r="E635" s="131"/>
      <c r="F635" s="131"/>
      <c r="G635" s="132"/>
      <c r="H635" s="133"/>
      <c r="I635" s="133"/>
      <c r="J635" s="132"/>
      <c r="K635" s="137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>
      <c r="A636" s="2"/>
      <c r="B636" s="142"/>
      <c r="C636" s="131"/>
      <c r="D636" s="131"/>
      <c r="E636" s="131"/>
      <c r="F636" s="131"/>
      <c r="G636" s="132"/>
      <c r="H636" s="133"/>
      <c r="I636" s="133"/>
      <c r="J636" s="132"/>
      <c r="K636" s="137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>
      <c r="A637" s="2"/>
      <c r="B637" s="142"/>
      <c r="C637" s="131"/>
      <c r="D637" s="131"/>
      <c r="E637" s="131"/>
      <c r="F637" s="131"/>
      <c r="G637" s="132"/>
      <c r="H637" s="133"/>
      <c r="I637" s="133"/>
      <c r="J637" s="132"/>
      <c r="K637" s="137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>
      <c r="A638" s="2"/>
      <c r="B638" s="142"/>
      <c r="C638" s="131"/>
      <c r="D638" s="131"/>
      <c r="E638" s="131"/>
      <c r="F638" s="131"/>
      <c r="G638" s="132"/>
      <c r="H638" s="133"/>
      <c r="I638" s="133"/>
      <c r="J638" s="132"/>
      <c r="K638" s="137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>
      <c r="A639" s="2"/>
      <c r="B639" s="142"/>
      <c r="C639" s="131"/>
      <c r="D639" s="131"/>
      <c r="E639" s="131"/>
      <c r="F639" s="131"/>
      <c r="G639" s="132"/>
      <c r="H639" s="133"/>
      <c r="I639" s="133"/>
      <c r="J639" s="132"/>
      <c r="K639" s="137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>
      <c r="A640" s="2"/>
      <c r="B640" s="142"/>
      <c r="C640" s="131"/>
      <c r="D640" s="131"/>
      <c r="E640" s="131"/>
      <c r="F640" s="131"/>
      <c r="G640" s="132"/>
      <c r="H640" s="133"/>
      <c r="I640" s="133"/>
      <c r="J640" s="132"/>
      <c r="K640" s="137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>
      <c r="A641" s="2"/>
      <c r="B641" s="142"/>
      <c r="C641" s="131"/>
      <c r="D641" s="131"/>
      <c r="E641" s="131"/>
      <c r="F641" s="131"/>
      <c r="G641" s="132"/>
      <c r="H641" s="133"/>
      <c r="I641" s="133"/>
      <c r="J641" s="132"/>
      <c r="K641" s="137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>
      <c r="A642" s="2"/>
      <c r="B642" s="142"/>
      <c r="C642" s="131"/>
      <c r="D642" s="131"/>
      <c r="E642" s="131"/>
      <c r="F642" s="131"/>
      <c r="G642" s="132"/>
      <c r="H642" s="133"/>
      <c r="I642" s="133"/>
      <c r="J642" s="132"/>
      <c r="K642" s="137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>
      <c r="A643" s="2"/>
      <c r="B643" s="142"/>
      <c r="C643" s="131"/>
      <c r="D643" s="131"/>
      <c r="E643" s="131"/>
      <c r="F643" s="131"/>
      <c r="G643" s="132"/>
      <c r="H643" s="133"/>
      <c r="I643" s="133"/>
      <c r="J643" s="132"/>
      <c r="K643" s="137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>
      <c r="A644" s="2"/>
      <c r="B644" s="142"/>
      <c r="C644" s="131"/>
      <c r="D644" s="131"/>
      <c r="E644" s="131"/>
      <c r="F644" s="131"/>
      <c r="G644" s="132"/>
      <c r="H644" s="133"/>
      <c r="I644" s="133"/>
      <c r="J644" s="132"/>
      <c r="K644" s="137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>
      <c r="A645" s="2"/>
      <c r="B645" s="142"/>
      <c r="C645" s="131"/>
      <c r="D645" s="131"/>
      <c r="E645" s="131"/>
      <c r="F645" s="131"/>
      <c r="G645" s="132"/>
      <c r="H645" s="133"/>
      <c r="I645" s="133"/>
      <c r="J645" s="132"/>
      <c r="K645" s="137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>
      <c r="A646" s="2"/>
      <c r="B646" s="142"/>
      <c r="C646" s="131"/>
      <c r="D646" s="131"/>
      <c r="E646" s="131"/>
      <c r="F646" s="131"/>
      <c r="G646" s="132"/>
      <c r="H646" s="133"/>
      <c r="I646" s="133"/>
      <c r="J646" s="132"/>
      <c r="K646" s="137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>
      <c r="A647" s="2"/>
      <c r="B647" s="142"/>
      <c r="C647" s="131"/>
      <c r="D647" s="131"/>
      <c r="E647" s="131"/>
      <c r="F647" s="131"/>
      <c r="G647" s="132"/>
      <c r="H647" s="133"/>
      <c r="I647" s="133"/>
      <c r="J647" s="132"/>
      <c r="K647" s="137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>
      <c r="A648" s="2"/>
      <c r="B648" s="142"/>
      <c r="C648" s="131"/>
      <c r="D648" s="131"/>
      <c r="E648" s="131"/>
      <c r="F648" s="131"/>
      <c r="G648" s="132"/>
      <c r="H648" s="133"/>
      <c r="I648" s="133"/>
      <c r="J648" s="132"/>
      <c r="K648" s="137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>
      <c r="A649" s="2"/>
      <c r="B649" s="142"/>
      <c r="C649" s="131"/>
      <c r="D649" s="131"/>
      <c r="E649" s="131"/>
      <c r="F649" s="131"/>
      <c r="G649" s="132"/>
      <c r="H649" s="133"/>
      <c r="I649" s="133"/>
      <c r="J649" s="132"/>
      <c r="K649" s="137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>
      <c r="A650" s="2"/>
      <c r="B650" s="142"/>
      <c r="C650" s="131"/>
      <c r="D650" s="131"/>
      <c r="E650" s="131"/>
      <c r="F650" s="131"/>
      <c r="G650" s="132"/>
      <c r="H650" s="133"/>
      <c r="I650" s="133"/>
      <c r="J650" s="132"/>
      <c r="K650" s="137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>
      <c r="A651" s="2"/>
      <c r="B651" s="142"/>
      <c r="C651" s="131"/>
      <c r="D651" s="131"/>
      <c r="E651" s="131"/>
      <c r="F651" s="131"/>
      <c r="G651" s="132"/>
      <c r="H651" s="133"/>
      <c r="I651" s="133"/>
      <c r="J651" s="132"/>
      <c r="K651" s="137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>
      <c r="A652" s="2"/>
      <c r="B652" s="142"/>
      <c r="C652" s="131"/>
      <c r="D652" s="131"/>
      <c r="E652" s="131"/>
      <c r="F652" s="131"/>
      <c r="G652" s="132"/>
      <c r="H652" s="133"/>
      <c r="I652" s="133"/>
      <c r="J652" s="132"/>
      <c r="K652" s="137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>
      <c r="A653" s="2"/>
      <c r="B653" s="142"/>
      <c r="C653" s="131"/>
      <c r="D653" s="131"/>
      <c r="E653" s="131"/>
      <c r="F653" s="131"/>
      <c r="G653" s="132"/>
      <c r="H653" s="133"/>
      <c r="I653" s="133"/>
      <c r="J653" s="132"/>
      <c r="K653" s="137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>
      <c r="A654" s="2"/>
      <c r="B654" s="142"/>
      <c r="C654" s="131"/>
      <c r="D654" s="131"/>
      <c r="E654" s="131"/>
      <c r="F654" s="131"/>
      <c r="G654" s="132"/>
      <c r="H654" s="133"/>
      <c r="I654" s="133"/>
      <c r="J654" s="132"/>
      <c r="K654" s="137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>
      <c r="A655" s="2"/>
      <c r="B655" s="142"/>
      <c r="C655" s="131"/>
      <c r="D655" s="131"/>
      <c r="E655" s="131"/>
      <c r="F655" s="131"/>
      <c r="G655" s="132"/>
      <c r="H655" s="133"/>
      <c r="I655" s="133"/>
      <c r="J655" s="132"/>
      <c r="K655" s="137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>
      <c r="A656" s="2"/>
      <c r="B656" s="142"/>
      <c r="C656" s="131"/>
      <c r="D656" s="131"/>
      <c r="E656" s="131"/>
      <c r="F656" s="131"/>
      <c r="G656" s="132"/>
      <c r="H656" s="133"/>
      <c r="I656" s="133"/>
      <c r="J656" s="132"/>
      <c r="K656" s="137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>
      <c r="A657" s="2"/>
      <c r="B657" s="142"/>
      <c r="C657" s="131"/>
      <c r="D657" s="131"/>
      <c r="E657" s="131"/>
      <c r="F657" s="131"/>
      <c r="G657" s="132"/>
      <c r="H657" s="133"/>
      <c r="I657" s="133"/>
      <c r="J657" s="132"/>
      <c r="K657" s="137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>
      <c r="A658" s="2"/>
      <c r="B658" s="142"/>
      <c r="C658" s="131"/>
      <c r="D658" s="131"/>
      <c r="E658" s="131"/>
      <c r="F658" s="131"/>
      <c r="G658" s="132"/>
      <c r="H658" s="133"/>
      <c r="I658" s="133"/>
      <c r="J658" s="132"/>
      <c r="K658" s="137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>
      <c r="A659" s="2"/>
      <c r="B659" s="142"/>
      <c r="C659" s="131"/>
      <c r="D659" s="131"/>
      <c r="E659" s="131"/>
      <c r="F659" s="131"/>
      <c r="G659" s="132"/>
      <c r="H659" s="133"/>
      <c r="I659" s="133"/>
      <c r="J659" s="132"/>
      <c r="K659" s="137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>
      <c r="A660" s="2"/>
      <c r="B660" s="142"/>
      <c r="C660" s="131"/>
      <c r="D660" s="131"/>
      <c r="E660" s="131"/>
      <c r="F660" s="131"/>
      <c r="G660" s="132"/>
      <c r="H660" s="133"/>
      <c r="I660" s="133"/>
      <c r="J660" s="132"/>
      <c r="K660" s="137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>
      <c r="A661" s="2"/>
      <c r="B661" s="142"/>
      <c r="C661" s="131"/>
      <c r="D661" s="131"/>
      <c r="E661" s="131"/>
      <c r="F661" s="131"/>
      <c r="G661" s="132"/>
      <c r="H661" s="133"/>
      <c r="I661" s="133"/>
      <c r="J661" s="132"/>
      <c r="K661" s="137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>
      <c r="A662" s="2"/>
      <c r="B662" s="142"/>
      <c r="C662" s="131"/>
      <c r="D662" s="131"/>
      <c r="E662" s="131"/>
      <c r="F662" s="131"/>
      <c r="G662" s="132"/>
      <c r="H662" s="133"/>
      <c r="I662" s="133"/>
      <c r="J662" s="132"/>
      <c r="K662" s="137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>
      <c r="A663" s="2"/>
      <c r="B663" s="142"/>
      <c r="C663" s="131"/>
      <c r="D663" s="131"/>
      <c r="E663" s="131"/>
      <c r="F663" s="131"/>
      <c r="G663" s="132"/>
      <c r="H663" s="133"/>
      <c r="I663" s="133"/>
      <c r="J663" s="132"/>
      <c r="K663" s="137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>
      <c r="A664" s="2"/>
      <c r="B664" s="142"/>
      <c r="C664" s="131"/>
      <c r="D664" s="131"/>
      <c r="E664" s="131"/>
      <c r="F664" s="131"/>
      <c r="G664" s="132"/>
      <c r="H664" s="133"/>
      <c r="I664" s="133"/>
      <c r="J664" s="132"/>
      <c r="K664" s="137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>
      <c r="A665" s="2"/>
      <c r="B665" s="142"/>
      <c r="C665" s="131"/>
      <c r="D665" s="131"/>
      <c r="E665" s="131"/>
      <c r="F665" s="131"/>
      <c r="G665" s="132"/>
      <c r="H665" s="133"/>
      <c r="I665" s="133"/>
      <c r="J665" s="132"/>
      <c r="K665" s="137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>
      <c r="A666" s="2"/>
      <c r="B666" s="142"/>
      <c r="C666" s="131"/>
      <c r="D666" s="131"/>
      <c r="E666" s="131"/>
      <c r="F666" s="131"/>
      <c r="G666" s="132"/>
      <c r="H666" s="133"/>
      <c r="I666" s="133"/>
      <c r="J666" s="132"/>
      <c r="K666" s="137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>
      <c r="A667" s="2"/>
      <c r="B667" s="142"/>
      <c r="C667" s="131"/>
      <c r="D667" s="131"/>
      <c r="E667" s="131"/>
      <c r="F667" s="131"/>
      <c r="G667" s="132"/>
      <c r="H667" s="133"/>
      <c r="I667" s="133"/>
      <c r="J667" s="132"/>
      <c r="K667" s="137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>
      <c r="A668" s="2"/>
      <c r="B668" s="142"/>
      <c r="C668" s="131"/>
      <c r="D668" s="131"/>
      <c r="E668" s="131"/>
      <c r="F668" s="131"/>
      <c r="G668" s="132"/>
      <c r="H668" s="133"/>
      <c r="I668" s="133"/>
      <c r="J668" s="132"/>
      <c r="K668" s="137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>
      <c r="A669" s="2"/>
      <c r="B669" s="142"/>
      <c r="C669" s="131"/>
      <c r="D669" s="131"/>
      <c r="E669" s="131"/>
      <c r="F669" s="131"/>
      <c r="G669" s="132"/>
      <c r="H669" s="133"/>
      <c r="I669" s="133"/>
      <c r="J669" s="132"/>
      <c r="K669" s="137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>
      <c r="A670" s="2"/>
      <c r="B670" s="142"/>
      <c r="C670" s="131"/>
      <c r="D670" s="131"/>
      <c r="E670" s="131"/>
      <c r="F670" s="131"/>
      <c r="G670" s="132"/>
      <c r="H670" s="133"/>
      <c r="I670" s="133"/>
      <c r="J670" s="132"/>
      <c r="K670" s="137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>
      <c r="A671" s="2"/>
      <c r="B671" s="142"/>
      <c r="C671" s="131"/>
      <c r="D671" s="131"/>
      <c r="E671" s="131"/>
      <c r="F671" s="131"/>
      <c r="G671" s="132"/>
      <c r="H671" s="133"/>
      <c r="I671" s="133"/>
      <c r="J671" s="132"/>
      <c r="K671" s="137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>
      <c r="A672" s="2"/>
      <c r="B672" s="142"/>
      <c r="C672" s="131"/>
      <c r="D672" s="131"/>
      <c r="E672" s="131"/>
      <c r="F672" s="131"/>
      <c r="G672" s="132"/>
      <c r="H672" s="133"/>
      <c r="I672" s="133"/>
      <c r="J672" s="132"/>
      <c r="K672" s="137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>
      <c r="A673" s="2"/>
      <c r="B673" s="142"/>
      <c r="C673" s="131"/>
      <c r="D673" s="131"/>
      <c r="E673" s="131"/>
      <c r="F673" s="131"/>
      <c r="G673" s="132"/>
      <c r="H673" s="133"/>
      <c r="I673" s="133"/>
      <c r="J673" s="132"/>
      <c r="K673" s="137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>
      <c r="A674" s="2"/>
      <c r="B674" s="142"/>
      <c r="C674" s="131"/>
      <c r="D674" s="131"/>
      <c r="E674" s="131"/>
      <c r="F674" s="131"/>
      <c r="G674" s="132"/>
      <c r="H674" s="133"/>
      <c r="I674" s="133"/>
      <c r="J674" s="132"/>
      <c r="K674" s="137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>
      <c r="A675" s="2"/>
      <c r="B675" s="142"/>
      <c r="C675" s="131"/>
      <c r="D675" s="131"/>
      <c r="E675" s="131"/>
      <c r="F675" s="131"/>
      <c r="G675" s="132"/>
      <c r="H675" s="133"/>
      <c r="I675" s="133"/>
      <c r="J675" s="132"/>
      <c r="K675" s="137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>
      <c r="A676" s="2"/>
      <c r="B676" s="142"/>
      <c r="C676" s="131"/>
      <c r="D676" s="131"/>
      <c r="E676" s="131"/>
      <c r="F676" s="131"/>
      <c r="G676" s="132"/>
      <c r="H676" s="133"/>
      <c r="I676" s="133"/>
      <c r="J676" s="132"/>
      <c r="K676" s="137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>
      <c r="A677" s="2"/>
      <c r="B677" s="142"/>
      <c r="C677" s="131"/>
      <c r="D677" s="131"/>
      <c r="E677" s="131"/>
      <c r="F677" s="131"/>
      <c r="G677" s="132"/>
      <c r="H677" s="133"/>
      <c r="I677" s="133"/>
      <c r="J677" s="132"/>
      <c r="K677" s="137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>
      <c r="A678" s="2"/>
      <c r="B678" s="142"/>
      <c r="C678" s="131"/>
      <c r="D678" s="131"/>
      <c r="E678" s="131"/>
      <c r="F678" s="131"/>
      <c r="G678" s="132"/>
      <c r="H678" s="133"/>
      <c r="I678" s="133"/>
      <c r="J678" s="132"/>
      <c r="K678" s="137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>
      <c r="A679" s="2"/>
      <c r="B679" s="142"/>
      <c r="C679" s="131"/>
      <c r="D679" s="131"/>
      <c r="E679" s="131"/>
      <c r="F679" s="131"/>
      <c r="G679" s="132"/>
      <c r="H679" s="133"/>
      <c r="I679" s="133"/>
      <c r="J679" s="132"/>
      <c r="K679" s="137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>
      <c r="A680" s="2"/>
      <c r="B680" s="142"/>
      <c r="C680" s="131"/>
      <c r="D680" s="131"/>
      <c r="E680" s="131"/>
      <c r="F680" s="131"/>
      <c r="G680" s="132"/>
      <c r="H680" s="133"/>
      <c r="I680" s="133"/>
      <c r="J680" s="132"/>
      <c r="K680" s="137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>
      <c r="A681" s="2"/>
      <c r="B681" s="142"/>
      <c r="C681" s="131"/>
      <c r="D681" s="131"/>
      <c r="E681" s="131"/>
      <c r="F681" s="131"/>
      <c r="G681" s="132"/>
      <c r="H681" s="133"/>
      <c r="I681" s="133"/>
      <c r="J681" s="132"/>
      <c r="K681" s="137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>
      <c r="A682" s="2"/>
      <c r="B682" s="142"/>
      <c r="C682" s="131"/>
      <c r="D682" s="131"/>
      <c r="E682" s="131"/>
      <c r="F682" s="131"/>
      <c r="G682" s="132"/>
      <c r="H682" s="133"/>
      <c r="I682" s="133"/>
      <c r="J682" s="132"/>
      <c r="K682" s="137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>
      <c r="A683" s="2"/>
      <c r="B683" s="142"/>
      <c r="C683" s="131"/>
      <c r="D683" s="131"/>
      <c r="E683" s="131"/>
      <c r="F683" s="131"/>
      <c r="G683" s="132"/>
      <c r="H683" s="133"/>
      <c r="I683" s="133"/>
      <c r="J683" s="132"/>
      <c r="K683" s="137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>
      <c r="A684" s="2"/>
      <c r="B684" s="142"/>
      <c r="C684" s="131"/>
      <c r="D684" s="131"/>
      <c r="E684" s="131"/>
      <c r="F684" s="131"/>
      <c r="G684" s="132"/>
      <c r="H684" s="133"/>
      <c r="I684" s="133"/>
      <c r="J684" s="132"/>
      <c r="K684" s="137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>
      <c r="A685" s="2"/>
      <c r="B685" s="142"/>
      <c r="C685" s="131"/>
      <c r="D685" s="131"/>
      <c r="E685" s="131"/>
      <c r="F685" s="131"/>
      <c r="G685" s="132"/>
      <c r="H685" s="133"/>
      <c r="I685" s="133"/>
      <c r="J685" s="132"/>
      <c r="K685" s="137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>
      <c r="A686" s="2"/>
      <c r="B686" s="142"/>
      <c r="C686" s="131"/>
      <c r="D686" s="131"/>
      <c r="E686" s="131"/>
      <c r="F686" s="131"/>
      <c r="G686" s="132"/>
      <c r="H686" s="133"/>
      <c r="I686" s="133"/>
      <c r="J686" s="132"/>
      <c r="K686" s="137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>
      <c r="A687" s="2"/>
      <c r="B687" s="142"/>
      <c r="C687" s="131"/>
      <c r="D687" s="131"/>
      <c r="E687" s="131"/>
      <c r="F687" s="131"/>
      <c r="G687" s="132"/>
      <c r="H687" s="133"/>
      <c r="I687" s="133"/>
      <c r="J687" s="132"/>
      <c r="K687" s="137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>
      <c r="A688" s="2"/>
      <c r="B688" s="142"/>
      <c r="C688" s="131"/>
      <c r="D688" s="131"/>
      <c r="E688" s="131"/>
      <c r="F688" s="131"/>
      <c r="G688" s="132"/>
      <c r="H688" s="133"/>
      <c r="I688" s="133"/>
      <c r="J688" s="132"/>
      <c r="K688" s="137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>
      <c r="A689" s="2"/>
      <c r="B689" s="142"/>
      <c r="C689" s="131"/>
      <c r="D689" s="131"/>
      <c r="E689" s="131"/>
      <c r="F689" s="131"/>
      <c r="G689" s="132"/>
      <c r="H689" s="133"/>
      <c r="I689" s="133"/>
      <c r="J689" s="132"/>
      <c r="K689" s="137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>
      <c r="A690" s="2"/>
      <c r="B690" s="142"/>
      <c r="C690" s="131"/>
      <c r="D690" s="131"/>
      <c r="E690" s="131"/>
      <c r="F690" s="131"/>
      <c r="G690" s="132"/>
      <c r="H690" s="133"/>
      <c r="I690" s="133"/>
      <c r="J690" s="132"/>
      <c r="K690" s="137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>
      <c r="A691" s="2"/>
      <c r="B691" s="142"/>
      <c r="C691" s="131"/>
      <c r="D691" s="131"/>
      <c r="E691" s="131"/>
      <c r="F691" s="131"/>
      <c r="G691" s="132"/>
      <c r="H691" s="133"/>
      <c r="I691" s="133"/>
      <c r="J691" s="132"/>
      <c r="K691" s="137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>
      <c r="A692" s="2"/>
      <c r="B692" s="142"/>
      <c r="C692" s="131"/>
      <c r="D692" s="131"/>
      <c r="E692" s="131"/>
      <c r="F692" s="131"/>
      <c r="G692" s="132"/>
      <c r="H692" s="133"/>
      <c r="I692" s="133"/>
      <c r="J692" s="132"/>
      <c r="K692" s="137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>
      <c r="A693" s="2"/>
      <c r="B693" s="142"/>
      <c r="C693" s="131"/>
      <c r="D693" s="131"/>
      <c r="E693" s="131"/>
      <c r="F693" s="131"/>
      <c r="G693" s="132"/>
      <c r="H693" s="133"/>
      <c r="I693" s="133"/>
      <c r="J693" s="132"/>
      <c r="K693" s="137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>
      <c r="A694" s="2"/>
      <c r="B694" s="142"/>
      <c r="C694" s="131"/>
      <c r="D694" s="131"/>
      <c r="E694" s="131"/>
      <c r="F694" s="131"/>
      <c r="G694" s="132"/>
      <c r="H694" s="133"/>
      <c r="I694" s="133"/>
      <c r="J694" s="132"/>
      <c r="K694" s="137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>
      <c r="A695" s="2"/>
      <c r="B695" s="142"/>
      <c r="C695" s="131"/>
      <c r="D695" s="131"/>
      <c r="E695" s="131"/>
      <c r="F695" s="131"/>
      <c r="G695" s="132"/>
      <c r="H695" s="133"/>
      <c r="I695" s="133"/>
      <c r="J695" s="132"/>
      <c r="K695" s="137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>
      <c r="A696" s="2"/>
      <c r="B696" s="142"/>
      <c r="C696" s="131"/>
      <c r="D696" s="131"/>
      <c r="E696" s="131"/>
      <c r="F696" s="131"/>
      <c r="G696" s="132"/>
      <c r="H696" s="133"/>
      <c r="I696" s="133"/>
      <c r="J696" s="132"/>
      <c r="K696" s="137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>
      <c r="A697" s="2"/>
      <c r="B697" s="142"/>
      <c r="C697" s="131"/>
      <c r="D697" s="131"/>
      <c r="E697" s="131"/>
      <c r="F697" s="131"/>
      <c r="G697" s="132"/>
      <c r="H697" s="133"/>
      <c r="I697" s="133"/>
      <c r="J697" s="132"/>
      <c r="K697" s="137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>
      <c r="A698" s="2"/>
      <c r="B698" s="142"/>
      <c r="C698" s="131"/>
      <c r="D698" s="131"/>
      <c r="E698" s="131"/>
      <c r="F698" s="131"/>
      <c r="G698" s="132"/>
      <c r="H698" s="133"/>
      <c r="I698" s="133"/>
      <c r="J698" s="132"/>
      <c r="K698" s="137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>
      <c r="A699" s="2"/>
      <c r="B699" s="142"/>
      <c r="C699" s="131"/>
      <c r="D699" s="131"/>
      <c r="E699" s="131"/>
      <c r="F699" s="131"/>
      <c r="G699" s="132"/>
      <c r="H699" s="133"/>
      <c r="I699" s="133"/>
      <c r="J699" s="132"/>
      <c r="K699" s="137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>
      <c r="A700" s="2"/>
      <c r="B700" s="142"/>
      <c r="C700" s="131"/>
      <c r="D700" s="131"/>
      <c r="E700" s="131"/>
      <c r="F700" s="131"/>
      <c r="G700" s="132"/>
      <c r="H700" s="133"/>
      <c r="I700" s="133"/>
      <c r="J700" s="132"/>
      <c r="K700" s="137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>
      <c r="A701" s="2"/>
      <c r="B701" s="142"/>
      <c r="C701" s="131"/>
      <c r="D701" s="131"/>
      <c r="E701" s="131"/>
      <c r="F701" s="131"/>
      <c r="G701" s="132"/>
      <c r="H701" s="133"/>
      <c r="I701" s="133"/>
      <c r="J701" s="132"/>
      <c r="K701" s="137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>
      <c r="A702" s="2"/>
      <c r="B702" s="142"/>
      <c r="C702" s="131"/>
      <c r="D702" s="131"/>
      <c r="E702" s="131"/>
      <c r="F702" s="131"/>
      <c r="G702" s="132"/>
      <c r="H702" s="133"/>
      <c r="I702" s="133"/>
      <c r="J702" s="132"/>
      <c r="K702" s="137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>
      <c r="A703" s="2"/>
      <c r="B703" s="142"/>
      <c r="C703" s="131"/>
      <c r="D703" s="131"/>
      <c r="E703" s="131"/>
      <c r="F703" s="131"/>
      <c r="G703" s="132"/>
      <c r="H703" s="133"/>
      <c r="I703" s="133"/>
      <c r="J703" s="132"/>
      <c r="K703" s="137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>
      <c r="A704" s="2"/>
      <c r="B704" s="142"/>
      <c r="C704" s="131"/>
      <c r="D704" s="131"/>
      <c r="E704" s="131"/>
      <c r="F704" s="131"/>
      <c r="G704" s="132"/>
      <c r="H704" s="133"/>
      <c r="I704" s="133"/>
      <c r="J704" s="132"/>
      <c r="K704" s="137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>
      <c r="A705" s="2"/>
      <c r="B705" s="142"/>
      <c r="C705" s="131"/>
      <c r="D705" s="131"/>
      <c r="E705" s="131"/>
      <c r="F705" s="131"/>
      <c r="G705" s="132"/>
      <c r="H705" s="133"/>
      <c r="I705" s="133"/>
      <c r="J705" s="132"/>
      <c r="K705" s="137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>
      <c r="A706" s="2"/>
      <c r="B706" s="142"/>
      <c r="C706" s="131"/>
      <c r="D706" s="131"/>
      <c r="E706" s="131"/>
      <c r="F706" s="131"/>
      <c r="G706" s="132"/>
      <c r="H706" s="133"/>
      <c r="I706" s="133"/>
      <c r="J706" s="132"/>
      <c r="K706" s="137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>
      <c r="A707" s="2"/>
      <c r="B707" s="142"/>
      <c r="C707" s="131"/>
      <c r="D707" s="131"/>
      <c r="E707" s="131"/>
      <c r="F707" s="131"/>
      <c r="G707" s="132"/>
      <c r="H707" s="133"/>
      <c r="I707" s="133"/>
      <c r="J707" s="132"/>
      <c r="K707" s="137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>
      <c r="A708" s="2"/>
      <c r="B708" s="142"/>
      <c r="C708" s="131"/>
      <c r="D708" s="131"/>
      <c r="E708" s="131"/>
      <c r="F708" s="131"/>
      <c r="G708" s="132"/>
      <c r="H708" s="133"/>
      <c r="I708" s="133"/>
      <c r="J708" s="132"/>
      <c r="K708" s="137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>
      <c r="A709" s="2"/>
      <c r="B709" s="142"/>
      <c r="C709" s="131"/>
      <c r="D709" s="131"/>
      <c r="E709" s="131"/>
      <c r="F709" s="131"/>
      <c r="G709" s="132"/>
      <c r="H709" s="133"/>
      <c r="I709" s="133"/>
      <c r="J709" s="132"/>
      <c r="K709" s="137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>
      <c r="A710" s="2"/>
      <c r="B710" s="142"/>
      <c r="C710" s="131"/>
      <c r="D710" s="131"/>
      <c r="E710" s="131"/>
      <c r="F710" s="131"/>
      <c r="G710" s="132"/>
      <c r="H710" s="133"/>
      <c r="I710" s="133"/>
      <c r="J710" s="132"/>
      <c r="K710" s="137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>
      <c r="A711" s="2"/>
      <c r="B711" s="142"/>
      <c r="C711" s="131"/>
      <c r="D711" s="131"/>
      <c r="E711" s="131"/>
      <c r="F711" s="131"/>
      <c r="G711" s="132"/>
      <c r="H711" s="133"/>
      <c r="I711" s="133"/>
      <c r="J711" s="132"/>
      <c r="K711" s="137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>
      <c r="A712" s="2"/>
      <c r="B712" s="142"/>
      <c r="C712" s="131"/>
      <c r="D712" s="131"/>
      <c r="E712" s="131"/>
      <c r="F712" s="131"/>
      <c r="G712" s="132"/>
      <c r="H712" s="133"/>
      <c r="I712" s="133"/>
      <c r="J712" s="132"/>
      <c r="K712" s="137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>
      <c r="A713" s="2"/>
      <c r="B713" s="142"/>
      <c r="C713" s="131"/>
      <c r="D713" s="131"/>
      <c r="E713" s="131"/>
      <c r="F713" s="131"/>
      <c r="G713" s="132"/>
      <c r="H713" s="133"/>
      <c r="I713" s="133"/>
      <c r="J713" s="132"/>
      <c r="K713" s="137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>
      <c r="A714" s="2"/>
      <c r="B714" s="142"/>
      <c r="C714" s="131"/>
      <c r="D714" s="131"/>
      <c r="E714" s="131"/>
      <c r="F714" s="131"/>
      <c r="G714" s="132"/>
      <c r="H714" s="133"/>
      <c r="I714" s="133"/>
      <c r="J714" s="132"/>
      <c r="K714" s="137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>
      <c r="A715" s="2"/>
      <c r="B715" s="142"/>
      <c r="C715" s="131"/>
      <c r="D715" s="131"/>
      <c r="E715" s="131"/>
      <c r="F715" s="131"/>
      <c r="G715" s="132"/>
      <c r="H715" s="133"/>
      <c r="I715" s="133"/>
      <c r="J715" s="132"/>
      <c r="K715" s="137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>
      <c r="A716" s="2"/>
      <c r="B716" s="142"/>
      <c r="C716" s="131"/>
      <c r="D716" s="131"/>
      <c r="E716" s="131"/>
      <c r="F716" s="131"/>
      <c r="G716" s="132"/>
      <c r="H716" s="133"/>
      <c r="I716" s="133"/>
      <c r="J716" s="132"/>
      <c r="K716" s="137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>
      <c r="A717" s="2"/>
      <c r="B717" s="142"/>
      <c r="C717" s="131"/>
      <c r="D717" s="131"/>
      <c r="E717" s="131"/>
      <c r="F717" s="131"/>
      <c r="G717" s="132"/>
      <c r="H717" s="133"/>
      <c r="I717" s="133"/>
      <c r="J717" s="132"/>
      <c r="K717" s="137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>
      <c r="A718" s="2"/>
      <c r="B718" s="142"/>
      <c r="C718" s="131"/>
      <c r="D718" s="131"/>
      <c r="E718" s="131"/>
      <c r="F718" s="131"/>
      <c r="G718" s="132"/>
      <c r="H718" s="133"/>
      <c r="I718" s="133"/>
      <c r="J718" s="132"/>
      <c r="K718" s="137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>
      <c r="A719" s="2"/>
      <c r="B719" s="142"/>
      <c r="C719" s="131"/>
      <c r="D719" s="131"/>
      <c r="E719" s="131"/>
      <c r="F719" s="131"/>
      <c r="G719" s="132"/>
      <c r="H719" s="133"/>
      <c r="I719" s="133"/>
      <c r="J719" s="132"/>
      <c r="K719" s="137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>
      <c r="A720" s="2"/>
      <c r="B720" s="142"/>
      <c r="C720" s="131"/>
      <c r="D720" s="131"/>
      <c r="E720" s="131"/>
      <c r="F720" s="131"/>
      <c r="G720" s="132"/>
      <c r="H720" s="133"/>
      <c r="I720" s="133"/>
      <c r="J720" s="132"/>
      <c r="K720" s="137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>
      <c r="A721" s="2"/>
      <c r="B721" s="142"/>
      <c r="C721" s="131"/>
      <c r="D721" s="131"/>
      <c r="E721" s="131"/>
      <c r="F721" s="131"/>
      <c r="G721" s="132"/>
      <c r="H721" s="133"/>
      <c r="I721" s="133"/>
      <c r="J721" s="132"/>
      <c r="K721" s="137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>
      <c r="A722" s="2"/>
      <c r="B722" s="142"/>
      <c r="C722" s="131"/>
      <c r="D722" s="131"/>
      <c r="E722" s="131"/>
      <c r="F722" s="131"/>
      <c r="G722" s="132"/>
      <c r="H722" s="133"/>
      <c r="I722" s="133"/>
      <c r="J722" s="132"/>
      <c r="K722" s="137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>
      <c r="A723" s="2"/>
      <c r="B723" s="142"/>
      <c r="C723" s="131"/>
      <c r="D723" s="131"/>
      <c r="E723" s="131"/>
      <c r="F723" s="131"/>
      <c r="G723" s="132"/>
      <c r="H723" s="133"/>
      <c r="I723" s="133"/>
      <c r="J723" s="132"/>
      <c r="K723" s="137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>
      <c r="A724" s="2"/>
      <c r="B724" s="142"/>
      <c r="C724" s="131"/>
      <c r="D724" s="131"/>
      <c r="E724" s="131"/>
      <c r="F724" s="131"/>
      <c r="G724" s="132"/>
      <c r="H724" s="133"/>
      <c r="I724" s="133"/>
      <c r="J724" s="132"/>
      <c r="K724" s="13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>
      <c r="A725" s="2"/>
      <c r="B725" s="142"/>
      <c r="C725" s="131"/>
      <c r="D725" s="131"/>
      <c r="E725" s="131"/>
      <c r="F725" s="131"/>
      <c r="G725" s="132"/>
      <c r="H725" s="133"/>
      <c r="I725" s="133"/>
      <c r="J725" s="132"/>
      <c r="K725" s="137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>
      <c r="A726" s="2"/>
      <c r="B726" s="142"/>
      <c r="C726" s="131"/>
      <c r="D726" s="131"/>
      <c r="E726" s="131"/>
      <c r="F726" s="131"/>
      <c r="G726" s="132"/>
      <c r="H726" s="133"/>
      <c r="I726" s="133"/>
      <c r="J726" s="132"/>
      <c r="K726" s="137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>
      <c r="A727" s="2"/>
      <c r="B727" s="142"/>
      <c r="C727" s="131"/>
      <c r="D727" s="131"/>
      <c r="E727" s="131"/>
      <c r="F727" s="131"/>
      <c r="G727" s="132"/>
      <c r="H727" s="133"/>
      <c r="I727" s="133"/>
      <c r="J727" s="132"/>
      <c r="K727" s="13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>
      <c r="A728" s="2"/>
      <c r="B728" s="142"/>
      <c r="C728" s="131"/>
      <c r="D728" s="131"/>
      <c r="E728" s="131"/>
      <c r="F728" s="131"/>
      <c r="G728" s="132"/>
      <c r="H728" s="133"/>
      <c r="I728" s="133"/>
      <c r="J728" s="132"/>
      <c r="K728" s="137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>
      <c r="A729" s="2"/>
      <c r="B729" s="142"/>
      <c r="C729" s="131"/>
      <c r="D729" s="131"/>
      <c r="E729" s="131"/>
      <c r="F729" s="131"/>
      <c r="G729" s="132"/>
      <c r="H729" s="133"/>
      <c r="I729" s="133"/>
      <c r="J729" s="132"/>
      <c r="K729" s="137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>
      <c r="A730" s="2"/>
      <c r="B730" s="142"/>
      <c r="C730" s="131"/>
      <c r="D730" s="131"/>
      <c r="E730" s="131"/>
      <c r="F730" s="131"/>
      <c r="G730" s="132"/>
      <c r="H730" s="133"/>
      <c r="I730" s="133"/>
      <c r="J730" s="132"/>
      <c r="K730" s="137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>
      <c r="A731" s="2"/>
      <c r="B731" s="142"/>
      <c r="C731" s="131"/>
      <c r="D731" s="131"/>
      <c r="E731" s="131"/>
      <c r="F731" s="131"/>
      <c r="G731" s="132"/>
      <c r="H731" s="133"/>
      <c r="I731" s="133"/>
      <c r="J731" s="132"/>
      <c r="K731" s="137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>
      <c r="A732" s="2"/>
      <c r="B732" s="142"/>
      <c r="C732" s="131"/>
      <c r="D732" s="131"/>
      <c r="E732" s="131"/>
      <c r="F732" s="131"/>
      <c r="G732" s="132"/>
      <c r="H732" s="133"/>
      <c r="I732" s="133"/>
      <c r="J732" s="132"/>
      <c r="K732" s="137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>
      <c r="A733" s="2"/>
      <c r="B733" s="142"/>
      <c r="C733" s="131"/>
      <c r="D733" s="131"/>
      <c r="E733" s="131"/>
      <c r="F733" s="131"/>
      <c r="G733" s="132"/>
      <c r="H733" s="133"/>
      <c r="I733" s="133"/>
      <c r="J733" s="132"/>
      <c r="K733" s="137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>
      <c r="A734" s="2"/>
      <c r="B734" s="142"/>
      <c r="C734" s="131"/>
      <c r="D734" s="131"/>
      <c r="E734" s="131"/>
      <c r="F734" s="131"/>
      <c r="G734" s="132"/>
      <c r="H734" s="133"/>
      <c r="I734" s="133"/>
      <c r="J734" s="132"/>
      <c r="K734" s="137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>
      <c r="A735" s="2"/>
      <c r="B735" s="142"/>
      <c r="C735" s="131"/>
      <c r="D735" s="131"/>
      <c r="E735" s="131"/>
      <c r="F735" s="131"/>
      <c r="G735" s="132"/>
      <c r="H735" s="133"/>
      <c r="I735" s="133"/>
      <c r="J735" s="132"/>
      <c r="K735" s="137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>
      <c r="A736" s="2"/>
      <c r="B736" s="142"/>
      <c r="C736" s="131"/>
      <c r="D736" s="131"/>
      <c r="E736" s="131"/>
      <c r="F736" s="131"/>
      <c r="G736" s="132"/>
      <c r="H736" s="133"/>
      <c r="I736" s="133"/>
      <c r="J736" s="132"/>
      <c r="K736" s="137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>
      <c r="A737" s="2"/>
      <c r="B737" s="142"/>
      <c r="C737" s="131"/>
      <c r="D737" s="131"/>
      <c r="E737" s="131"/>
      <c r="F737" s="131"/>
      <c r="G737" s="132"/>
      <c r="H737" s="133"/>
      <c r="I737" s="133"/>
      <c r="J737" s="132"/>
      <c r="K737" s="137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>
      <c r="A738" s="2"/>
      <c r="B738" s="142"/>
      <c r="C738" s="131"/>
      <c r="D738" s="131"/>
      <c r="E738" s="131"/>
      <c r="F738" s="131"/>
      <c r="G738" s="132"/>
      <c r="H738" s="133"/>
      <c r="I738" s="133"/>
      <c r="J738" s="132"/>
      <c r="K738" s="137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>
      <c r="A739" s="2"/>
      <c r="B739" s="142"/>
      <c r="C739" s="131"/>
      <c r="D739" s="131"/>
      <c r="E739" s="131"/>
      <c r="F739" s="131"/>
      <c r="G739" s="132"/>
      <c r="H739" s="133"/>
      <c r="I739" s="133"/>
      <c r="J739" s="132"/>
      <c r="K739" s="137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>
      <c r="A740" s="2"/>
      <c r="B740" s="142"/>
      <c r="C740" s="131"/>
      <c r="D740" s="131"/>
      <c r="E740" s="131"/>
      <c r="F740" s="131"/>
      <c r="G740" s="132"/>
      <c r="H740" s="133"/>
      <c r="I740" s="133"/>
      <c r="J740" s="132"/>
      <c r="K740" s="137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>
      <c r="A741" s="2"/>
      <c r="B741" s="142"/>
      <c r="C741" s="131"/>
      <c r="D741" s="131"/>
      <c r="E741" s="131"/>
      <c r="F741" s="131"/>
      <c r="G741" s="132"/>
      <c r="H741" s="133"/>
      <c r="I741" s="133"/>
      <c r="J741" s="132"/>
      <c r="K741" s="137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>
      <c r="A742" s="2"/>
      <c r="B742" s="142"/>
      <c r="C742" s="131"/>
      <c r="D742" s="131"/>
      <c r="E742" s="131"/>
      <c r="F742" s="131"/>
      <c r="G742" s="132"/>
      <c r="H742" s="133"/>
      <c r="I742" s="133"/>
      <c r="J742" s="132"/>
      <c r="K742" s="137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>
      <c r="A743" s="2"/>
      <c r="B743" s="142"/>
      <c r="C743" s="131"/>
      <c r="D743" s="131"/>
      <c r="E743" s="131"/>
      <c r="F743" s="131"/>
      <c r="G743" s="132"/>
      <c r="H743" s="133"/>
      <c r="I743" s="133"/>
      <c r="J743" s="132"/>
      <c r="K743" s="137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>
      <c r="A744" s="2"/>
      <c r="B744" s="142"/>
      <c r="C744" s="131"/>
      <c r="D744" s="131"/>
      <c r="E744" s="131"/>
      <c r="F744" s="131"/>
      <c r="G744" s="132"/>
      <c r="H744" s="133"/>
      <c r="I744" s="133"/>
      <c r="J744" s="132"/>
      <c r="K744" s="137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>
      <c r="A745" s="2"/>
      <c r="B745" s="142"/>
      <c r="C745" s="131"/>
      <c r="D745" s="131"/>
      <c r="E745" s="131"/>
      <c r="F745" s="131"/>
      <c r="G745" s="132"/>
      <c r="H745" s="133"/>
      <c r="I745" s="133"/>
      <c r="J745" s="132"/>
      <c r="K745" s="137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>
      <c r="A746" s="2"/>
      <c r="B746" s="142"/>
      <c r="C746" s="131"/>
      <c r="D746" s="131"/>
      <c r="E746" s="131"/>
      <c r="F746" s="131"/>
      <c r="G746" s="132"/>
      <c r="H746" s="133"/>
      <c r="I746" s="133"/>
      <c r="J746" s="132"/>
      <c r="K746" s="137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>
      <c r="A747" s="2"/>
      <c r="B747" s="142"/>
      <c r="C747" s="131"/>
      <c r="D747" s="131"/>
      <c r="E747" s="131"/>
      <c r="F747" s="131"/>
      <c r="G747" s="132"/>
      <c r="H747" s="133"/>
      <c r="I747" s="133"/>
      <c r="J747" s="132"/>
      <c r="K747" s="137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>
      <c r="A748" s="2"/>
      <c r="B748" s="142"/>
      <c r="C748" s="131"/>
      <c r="D748" s="131"/>
      <c r="E748" s="131"/>
      <c r="F748" s="131"/>
      <c r="G748" s="132"/>
      <c r="H748" s="133"/>
      <c r="I748" s="133"/>
      <c r="J748" s="132"/>
      <c r="K748" s="137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>
      <c r="A749" s="2"/>
      <c r="B749" s="142"/>
      <c r="C749" s="131"/>
      <c r="D749" s="131"/>
      <c r="E749" s="131"/>
      <c r="F749" s="131"/>
      <c r="G749" s="132"/>
      <c r="H749" s="133"/>
      <c r="I749" s="133"/>
      <c r="J749" s="132"/>
      <c r="K749" s="137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>
      <c r="A750" s="2"/>
      <c r="B750" s="142"/>
      <c r="C750" s="131"/>
      <c r="D750" s="131"/>
      <c r="E750" s="131"/>
      <c r="F750" s="131"/>
      <c r="G750" s="132"/>
      <c r="H750" s="133"/>
      <c r="I750" s="133"/>
      <c r="J750" s="132"/>
      <c r="K750" s="137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>
      <c r="A751" s="2"/>
      <c r="B751" s="142"/>
      <c r="C751" s="131"/>
      <c r="D751" s="131"/>
      <c r="E751" s="131"/>
      <c r="F751" s="131"/>
      <c r="G751" s="132"/>
      <c r="H751" s="133"/>
      <c r="I751" s="133"/>
      <c r="J751" s="132"/>
      <c r="K751" s="137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>
      <c r="A752" s="2"/>
      <c r="B752" s="142"/>
      <c r="C752" s="131"/>
      <c r="D752" s="131"/>
      <c r="E752" s="131"/>
      <c r="F752" s="131"/>
      <c r="G752" s="132"/>
      <c r="H752" s="133"/>
      <c r="I752" s="133"/>
      <c r="J752" s="132"/>
      <c r="K752" s="137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>
      <c r="A753" s="2"/>
      <c r="B753" s="142"/>
      <c r="C753" s="131"/>
      <c r="D753" s="131"/>
      <c r="E753" s="131"/>
      <c r="F753" s="131"/>
      <c r="G753" s="132"/>
      <c r="H753" s="133"/>
      <c r="I753" s="133"/>
      <c r="J753" s="132"/>
      <c r="K753" s="137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>
      <c r="A754" s="2"/>
      <c r="B754" s="142"/>
      <c r="C754" s="131"/>
      <c r="D754" s="131"/>
      <c r="E754" s="131"/>
      <c r="F754" s="131"/>
      <c r="G754" s="132"/>
      <c r="H754" s="133"/>
      <c r="I754" s="133"/>
      <c r="J754" s="132"/>
      <c r="K754" s="137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>
      <c r="A755" s="2"/>
      <c r="B755" s="142"/>
      <c r="C755" s="131"/>
      <c r="D755" s="131"/>
      <c r="E755" s="131"/>
      <c r="F755" s="131"/>
      <c r="G755" s="132"/>
      <c r="H755" s="133"/>
      <c r="I755" s="133"/>
      <c r="J755" s="132"/>
      <c r="K755" s="137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>
      <c r="A756" s="2"/>
      <c r="B756" s="142"/>
      <c r="C756" s="131"/>
      <c r="D756" s="131"/>
      <c r="E756" s="131"/>
      <c r="F756" s="131"/>
      <c r="G756" s="132"/>
      <c r="H756" s="133"/>
      <c r="I756" s="133"/>
      <c r="J756" s="132"/>
      <c r="K756" s="137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>
      <c r="A757" s="2"/>
      <c r="B757" s="142"/>
      <c r="C757" s="131"/>
      <c r="D757" s="131"/>
      <c r="E757" s="131"/>
      <c r="F757" s="131"/>
      <c r="G757" s="132"/>
      <c r="H757" s="133"/>
      <c r="I757" s="133"/>
      <c r="J757" s="132"/>
      <c r="K757" s="137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>
      <c r="A758" s="2"/>
      <c r="B758" s="142"/>
      <c r="C758" s="131"/>
      <c r="D758" s="131"/>
      <c r="E758" s="131"/>
      <c r="F758" s="131"/>
      <c r="G758" s="132"/>
      <c r="H758" s="133"/>
      <c r="I758" s="133"/>
      <c r="J758" s="132"/>
      <c r="K758" s="137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>
      <c r="A759" s="2"/>
      <c r="B759" s="142"/>
      <c r="C759" s="131"/>
      <c r="D759" s="131"/>
      <c r="E759" s="131"/>
      <c r="F759" s="131"/>
      <c r="G759" s="132"/>
      <c r="H759" s="133"/>
      <c r="I759" s="133"/>
      <c r="J759" s="132"/>
      <c r="K759" s="137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>
      <c r="A760" s="2"/>
      <c r="B760" s="142"/>
      <c r="C760" s="131"/>
      <c r="D760" s="131"/>
      <c r="E760" s="131"/>
      <c r="F760" s="131"/>
      <c r="G760" s="132"/>
      <c r="H760" s="133"/>
      <c r="I760" s="133"/>
      <c r="J760" s="132"/>
      <c r="K760" s="137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>
      <c r="A761" s="2"/>
      <c r="B761" s="142"/>
      <c r="C761" s="131"/>
      <c r="D761" s="131"/>
      <c r="E761" s="131"/>
      <c r="F761" s="131"/>
      <c r="G761" s="132"/>
      <c r="H761" s="133"/>
      <c r="I761" s="133"/>
      <c r="J761" s="132"/>
      <c r="K761" s="137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>
      <c r="A762" s="2"/>
      <c r="B762" s="142"/>
      <c r="C762" s="131"/>
      <c r="D762" s="131"/>
      <c r="E762" s="131"/>
      <c r="F762" s="131"/>
      <c r="G762" s="132"/>
      <c r="H762" s="133"/>
      <c r="I762" s="133"/>
      <c r="J762" s="132"/>
      <c r="K762" s="137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>
      <c r="A763" s="2"/>
      <c r="B763" s="142"/>
      <c r="C763" s="131"/>
      <c r="D763" s="131"/>
      <c r="E763" s="131"/>
      <c r="F763" s="131"/>
      <c r="G763" s="132"/>
      <c r="H763" s="133"/>
      <c r="I763" s="133"/>
      <c r="J763" s="132"/>
      <c r="K763" s="137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>
      <c r="A764" s="2"/>
      <c r="B764" s="142"/>
      <c r="C764" s="131"/>
      <c r="D764" s="131"/>
      <c r="E764" s="131"/>
      <c r="F764" s="131"/>
      <c r="G764" s="132"/>
      <c r="H764" s="133"/>
      <c r="I764" s="133"/>
      <c r="J764" s="132"/>
      <c r="K764" s="137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>
      <c r="A765" s="2"/>
      <c r="B765" s="142"/>
      <c r="C765" s="131"/>
      <c r="D765" s="131"/>
      <c r="E765" s="131"/>
      <c r="F765" s="131"/>
      <c r="G765" s="132"/>
      <c r="H765" s="133"/>
      <c r="I765" s="133"/>
      <c r="J765" s="132"/>
      <c r="K765" s="137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>
      <c r="A766" s="2"/>
      <c r="B766" s="142"/>
      <c r="C766" s="131"/>
      <c r="D766" s="131"/>
      <c r="E766" s="131"/>
      <c r="F766" s="131"/>
      <c r="G766" s="132"/>
      <c r="H766" s="133"/>
      <c r="I766" s="133"/>
      <c r="J766" s="132"/>
      <c r="K766" s="137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>
      <c r="A767" s="2"/>
      <c r="B767" s="142"/>
      <c r="C767" s="131"/>
      <c r="D767" s="131"/>
      <c r="E767" s="131"/>
      <c r="F767" s="131"/>
      <c r="G767" s="132"/>
      <c r="H767" s="133"/>
      <c r="I767" s="133"/>
      <c r="J767" s="132"/>
      <c r="K767" s="137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>
      <c r="A768" s="2"/>
      <c r="B768" s="142"/>
      <c r="C768" s="131"/>
      <c r="D768" s="131"/>
      <c r="E768" s="131"/>
      <c r="F768" s="131"/>
      <c r="G768" s="132"/>
      <c r="H768" s="133"/>
      <c r="I768" s="133"/>
      <c r="J768" s="132"/>
      <c r="K768" s="137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>
      <c r="A769" s="2"/>
      <c r="B769" s="142"/>
      <c r="C769" s="131"/>
      <c r="D769" s="131"/>
      <c r="E769" s="131"/>
      <c r="F769" s="131"/>
      <c r="G769" s="132"/>
      <c r="H769" s="133"/>
      <c r="I769" s="133"/>
      <c r="J769" s="132"/>
      <c r="K769" s="137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>
      <c r="A770" s="2"/>
      <c r="B770" s="142"/>
      <c r="C770" s="131"/>
      <c r="D770" s="131"/>
      <c r="E770" s="131"/>
      <c r="F770" s="131"/>
      <c r="G770" s="132"/>
      <c r="H770" s="133"/>
      <c r="I770" s="133"/>
      <c r="J770" s="132"/>
      <c r="K770" s="137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>
      <c r="A771" s="2"/>
      <c r="B771" s="142"/>
      <c r="C771" s="131"/>
      <c r="D771" s="131"/>
      <c r="E771" s="131"/>
      <c r="F771" s="131"/>
      <c r="G771" s="132"/>
      <c r="H771" s="133"/>
      <c r="I771" s="133"/>
      <c r="J771" s="132"/>
      <c r="K771" s="137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>
      <c r="A772" s="2"/>
      <c r="B772" s="142"/>
      <c r="C772" s="131"/>
      <c r="D772" s="131"/>
      <c r="E772" s="131"/>
      <c r="F772" s="131"/>
      <c r="G772" s="132"/>
      <c r="H772" s="133"/>
      <c r="I772" s="133"/>
      <c r="J772" s="132"/>
      <c r="K772" s="137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>
      <c r="A773" s="2"/>
      <c r="B773" s="142"/>
      <c r="C773" s="131"/>
      <c r="D773" s="131"/>
      <c r="E773" s="131"/>
      <c r="F773" s="131"/>
      <c r="G773" s="132"/>
      <c r="H773" s="133"/>
      <c r="I773" s="133"/>
      <c r="J773" s="132"/>
      <c r="K773" s="137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>
      <c r="A774" s="2"/>
      <c r="B774" s="142"/>
      <c r="C774" s="131"/>
      <c r="D774" s="131"/>
      <c r="E774" s="131"/>
      <c r="F774" s="131"/>
      <c r="G774" s="132"/>
      <c r="H774" s="133"/>
      <c r="I774" s="133"/>
      <c r="J774" s="132"/>
      <c r="K774" s="137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>
      <c r="A775" s="2"/>
      <c r="B775" s="142"/>
      <c r="C775" s="131"/>
      <c r="D775" s="131"/>
      <c r="E775" s="131"/>
      <c r="F775" s="131"/>
      <c r="G775" s="132"/>
      <c r="H775" s="133"/>
      <c r="I775" s="133"/>
      <c r="J775" s="132"/>
      <c r="K775" s="137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>
      <c r="A776" s="2"/>
      <c r="B776" s="142"/>
      <c r="C776" s="131"/>
      <c r="D776" s="131"/>
      <c r="E776" s="131"/>
      <c r="F776" s="131"/>
      <c r="G776" s="132"/>
      <c r="H776" s="133"/>
      <c r="I776" s="133"/>
      <c r="J776" s="132"/>
      <c r="K776" s="137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>
      <c r="A777" s="2"/>
      <c r="B777" s="142"/>
      <c r="C777" s="131"/>
      <c r="D777" s="131"/>
      <c r="E777" s="131"/>
      <c r="F777" s="131"/>
      <c r="G777" s="132"/>
      <c r="H777" s="133"/>
      <c r="I777" s="133"/>
      <c r="J777" s="132"/>
      <c r="K777" s="137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>
      <c r="A778" s="2"/>
      <c r="B778" s="142"/>
      <c r="C778" s="131"/>
      <c r="D778" s="131"/>
      <c r="E778" s="131"/>
      <c r="F778" s="131"/>
      <c r="G778" s="132"/>
      <c r="H778" s="133"/>
      <c r="I778" s="133"/>
      <c r="J778" s="132"/>
      <c r="K778" s="137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>
      <c r="A779" s="2"/>
      <c r="B779" s="142"/>
      <c r="C779" s="131"/>
      <c r="D779" s="131"/>
      <c r="E779" s="131"/>
      <c r="F779" s="131"/>
      <c r="G779" s="132"/>
      <c r="H779" s="133"/>
      <c r="I779" s="133"/>
      <c r="J779" s="132"/>
      <c r="K779" s="137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>
      <c r="A780" s="2"/>
      <c r="B780" s="142"/>
      <c r="C780" s="131"/>
      <c r="D780" s="131"/>
      <c r="E780" s="131"/>
      <c r="F780" s="131"/>
      <c r="G780" s="132"/>
      <c r="H780" s="133"/>
      <c r="I780" s="133"/>
      <c r="J780" s="132"/>
      <c r="K780" s="137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>
      <c r="A781" s="2"/>
      <c r="B781" s="142"/>
      <c r="C781" s="131"/>
      <c r="D781" s="131"/>
      <c r="E781" s="131"/>
      <c r="F781" s="131"/>
      <c r="G781" s="132"/>
      <c r="H781" s="133"/>
      <c r="I781" s="133"/>
      <c r="J781" s="132"/>
      <c r="K781" s="137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>
      <c r="A782" s="2"/>
      <c r="B782" s="142"/>
      <c r="C782" s="131"/>
      <c r="D782" s="131"/>
      <c r="E782" s="131"/>
      <c r="F782" s="131"/>
      <c r="G782" s="132"/>
      <c r="H782" s="133"/>
      <c r="I782" s="133"/>
      <c r="J782" s="132"/>
      <c r="K782" s="137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>
      <c r="A783" s="2"/>
      <c r="B783" s="142"/>
      <c r="C783" s="131"/>
      <c r="D783" s="131"/>
      <c r="E783" s="131"/>
      <c r="F783" s="131"/>
      <c r="G783" s="132"/>
      <c r="H783" s="133"/>
      <c r="I783" s="133"/>
      <c r="J783" s="132"/>
      <c r="K783" s="137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>
      <c r="A784" s="2"/>
      <c r="B784" s="142"/>
      <c r="C784" s="131"/>
      <c r="D784" s="131"/>
      <c r="E784" s="131"/>
      <c r="F784" s="131"/>
      <c r="G784" s="132"/>
      <c r="H784" s="133"/>
      <c r="I784" s="133"/>
      <c r="J784" s="132"/>
      <c r="K784" s="137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>
      <c r="A785" s="2"/>
      <c r="B785" s="142"/>
      <c r="C785" s="131"/>
      <c r="D785" s="131"/>
      <c r="E785" s="131"/>
      <c r="F785" s="131"/>
      <c r="G785" s="132"/>
      <c r="H785" s="133"/>
      <c r="I785" s="133"/>
      <c r="J785" s="132"/>
      <c r="K785" s="137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>
      <c r="A786" s="2"/>
      <c r="B786" s="142"/>
      <c r="C786" s="131"/>
      <c r="D786" s="131"/>
      <c r="E786" s="131"/>
      <c r="F786" s="131"/>
      <c r="G786" s="132"/>
      <c r="H786" s="133"/>
      <c r="I786" s="133"/>
      <c r="J786" s="132"/>
      <c r="K786" s="137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>
      <c r="A787" s="2"/>
      <c r="B787" s="142"/>
      <c r="C787" s="131"/>
      <c r="D787" s="131"/>
      <c r="E787" s="131"/>
      <c r="F787" s="131"/>
      <c r="G787" s="132"/>
      <c r="H787" s="133"/>
      <c r="I787" s="133"/>
      <c r="J787" s="132"/>
      <c r="K787" s="137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>
      <c r="A788" s="2"/>
      <c r="B788" s="142"/>
      <c r="C788" s="131"/>
      <c r="D788" s="131"/>
      <c r="E788" s="131"/>
      <c r="F788" s="131"/>
      <c r="G788" s="132"/>
      <c r="H788" s="133"/>
      <c r="I788" s="133"/>
      <c r="J788" s="132"/>
      <c r="K788" s="137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>
      <c r="A789" s="2"/>
      <c r="B789" s="142"/>
      <c r="C789" s="131"/>
      <c r="D789" s="131"/>
      <c r="E789" s="131"/>
      <c r="F789" s="131"/>
      <c r="G789" s="132"/>
      <c r="H789" s="133"/>
      <c r="I789" s="133"/>
      <c r="J789" s="132"/>
      <c r="K789" s="137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>
      <c r="A790" s="2"/>
      <c r="B790" s="142"/>
      <c r="C790" s="131"/>
      <c r="D790" s="131"/>
      <c r="E790" s="131"/>
      <c r="F790" s="131"/>
      <c r="G790" s="132"/>
      <c r="H790" s="133"/>
      <c r="I790" s="133"/>
      <c r="J790" s="132"/>
      <c r="K790" s="137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>
      <c r="A791" s="2"/>
      <c r="B791" s="142"/>
      <c r="C791" s="131"/>
      <c r="D791" s="131"/>
      <c r="E791" s="131"/>
      <c r="F791" s="131"/>
      <c r="G791" s="132"/>
      <c r="H791" s="133"/>
      <c r="I791" s="133"/>
      <c r="J791" s="132"/>
      <c r="K791" s="137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>
      <c r="A792" s="2"/>
      <c r="B792" s="142"/>
      <c r="C792" s="131"/>
      <c r="D792" s="131"/>
      <c r="E792" s="131"/>
      <c r="F792" s="131"/>
      <c r="G792" s="132"/>
      <c r="H792" s="133"/>
      <c r="I792" s="133"/>
      <c r="J792" s="132"/>
      <c r="K792" s="137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>
      <c r="A793" s="2"/>
      <c r="B793" s="142"/>
      <c r="C793" s="131"/>
      <c r="D793" s="131"/>
      <c r="E793" s="131"/>
      <c r="F793" s="131"/>
      <c r="G793" s="132"/>
      <c r="H793" s="133"/>
      <c r="I793" s="133"/>
      <c r="J793" s="132"/>
      <c r="K793" s="137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>
      <c r="A794" s="2"/>
      <c r="B794" s="142"/>
      <c r="C794" s="131"/>
      <c r="D794" s="131"/>
      <c r="E794" s="131"/>
      <c r="F794" s="131"/>
      <c r="G794" s="132"/>
      <c r="H794" s="133"/>
      <c r="I794" s="133"/>
      <c r="J794" s="132"/>
      <c r="K794" s="137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>
      <c r="A795" s="2"/>
      <c r="B795" s="142"/>
      <c r="C795" s="131"/>
      <c r="D795" s="131"/>
      <c r="E795" s="131"/>
      <c r="F795" s="131"/>
      <c r="G795" s="132"/>
      <c r="H795" s="133"/>
      <c r="I795" s="133"/>
      <c r="J795" s="132"/>
      <c r="K795" s="137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>
      <c r="A796" s="2"/>
      <c r="B796" s="142"/>
      <c r="C796" s="131"/>
      <c r="D796" s="131"/>
      <c r="E796" s="131"/>
      <c r="F796" s="131"/>
      <c r="G796" s="132"/>
      <c r="H796" s="133"/>
      <c r="I796" s="133"/>
      <c r="J796" s="132"/>
      <c r="K796" s="137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>
      <c r="A797" s="2"/>
      <c r="B797" s="142"/>
      <c r="C797" s="131"/>
      <c r="D797" s="131"/>
      <c r="E797" s="131"/>
      <c r="F797" s="131"/>
      <c r="G797" s="132"/>
      <c r="H797" s="133"/>
      <c r="I797" s="133"/>
      <c r="J797" s="132"/>
      <c r="K797" s="137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>
      <c r="A798" s="2"/>
      <c r="B798" s="142"/>
      <c r="C798" s="131"/>
      <c r="D798" s="131"/>
      <c r="E798" s="131"/>
      <c r="F798" s="131"/>
      <c r="G798" s="132"/>
      <c r="H798" s="133"/>
      <c r="I798" s="133"/>
      <c r="J798" s="132"/>
      <c r="K798" s="137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>
      <c r="A799" s="2"/>
      <c r="B799" s="142"/>
      <c r="C799" s="131"/>
      <c r="D799" s="131"/>
      <c r="E799" s="131"/>
      <c r="F799" s="131"/>
      <c r="G799" s="132"/>
      <c r="H799" s="133"/>
      <c r="I799" s="133"/>
      <c r="J799" s="132"/>
      <c r="K799" s="137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>
      <c r="A800" s="2"/>
      <c r="B800" s="142"/>
      <c r="C800" s="131"/>
      <c r="D800" s="131"/>
      <c r="E800" s="131"/>
      <c r="F800" s="131"/>
      <c r="G800" s="132"/>
      <c r="H800" s="133"/>
      <c r="I800" s="133"/>
      <c r="J800" s="132"/>
      <c r="K800" s="137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>
      <c r="A801" s="2"/>
      <c r="B801" s="142"/>
      <c r="C801" s="131"/>
      <c r="D801" s="131"/>
      <c r="E801" s="131"/>
      <c r="F801" s="131"/>
      <c r="G801" s="132"/>
      <c r="H801" s="133"/>
      <c r="I801" s="133"/>
      <c r="J801" s="132"/>
      <c r="K801" s="137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>
      <c r="A802" s="2"/>
      <c r="B802" s="142"/>
      <c r="C802" s="131"/>
      <c r="D802" s="131"/>
      <c r="E802" s="131"/>
      <c r="F802" s="131"/>
      <c r="G802" s="132"/>
      <c r="H802" s="133"/>
      <c r="I802" s="133"/>
      <c r="J802" s="132"/>
      <c r="K802" s="137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>
      <c r="A803" s="2"/>
      <c r="B803" s="142"/>
      <c r="C803" s="131"/>
      <c r="D803" s="131"/>
      <c r="E803" s="131"/>
      <c r="F803" s="131"/>
      <c r="G803" s="132"/>
      <c r="H803" s="133"/>
      <c r="I803" s="133"/>
      <c r="J803" s="132"/>
      <c r="K803" s="137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>
      <c r="A804" s="2"/>
      <c r="B804" s="142"/>
      <c r="C804" s="131"/>
      <c r="D804" s="131"/>
      <c r="E804" s="131"/>
      <c r="F804" s="131"/>
      <c r="G804" s="132"/>
      <c r="H804" s="133"/>
      <c r="I804" s="133"/>
      <c r="J804" s="132"/>
      <c r="K804" s="137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>
      <c r="A805" s="2"/>
      <c r="B805" s="142"/>
      <c r="C805" s="131"/>
      <c r="D805" s="131"/>
      <c r="E805" s="131"/>
      <c r="F805" s="131"/>
      <c r="G805" s="132"/>
      <c r="H805" s="133"/>
      <c r="I805" s="133"/>
      <c r="J805" s="132"/>
      <c r="K805" s="137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>
      <c r="A806" s="2"/>
      <c r="B806" s="142"/>
      <c r="C806" s="131"/>
      <c r="D806" s="131"/>
      <c r="E806" s="131"/>
      <c r="F806" s="131"/>
      <c r="G806" s="132"/>
      <c r="H806" s="133"/>
      <c r="I806" s="133"/>
      <c r="J806" s="132"/>
      <c r="K806" s="137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>
      <c r="A807" s="2"/>
      <c r="B807" s="142"/>
      <c r="C807" s="131"/>
      <c r="D807" s="131"/>
      <c r="E807" s="131"/>
      <c r="F807" s="131"/>
      <c r="G807" s="132"/>
      <c r="H807" s="133"/>
      <c r="I807" s="133"/>
      <c r="J807" s="132"/>
      <c r="K807" s="137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>
      <c r="A808" s="2"/>
      <c r="B808" s="142"/>
      <c r="C808" s="131"/>
      <c r="D808" s="131"/>
      <c r="E808" s="131"/>
      <c r="F808" s="131"/>
      <c r="G808" s="132"/>
      <c r="H808" s="133"/>
      <c r="I808" s="133"/>
      <c r="J808" s="132"/>
      <c r="K808" s="137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>
      <c r="A809" s="2"/>
      <c r="B809" s="142"/>
      <c r="C809" s="131"/>
      <c r="D809" s="131"/>
      <c r="E809" s="131"/>
      <c r="F809" s="131"/>
      <c r="G809" s="132"/>
      <c r="H809" s="133"/>
      <c r="I809" s="133"/>
      <c r="J809" s="132"/>
      <c r="K809" s="137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>
      <c r="A810" s="2"/>
      <c r="B810" s="142"/>
      <c r="C810" s="131"/>
      <c r="D810" s="131"/>
      <c r="E810" s="131"/>
      <c r="F810" s="131"/>
      <c r="G810" s="132"/>
      <c r="H810" s="133"/>
      <c r="I810" s="133"/>
      <c r="J810" s="132"/>
      <c r="K810" s="137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>
      <c r="A811" s="2"/>
      <c r="B811" s="142"/>
      <c r="C811" s="131"/>
      <c r="D811" s="131"/>
      <c r="E811" s="131"/>
      <c r="F811" s="131"/>
      <c r="G811" s="132"/>
      <c r="H811" s="133"/>
      <c r="I811" s="133"/>
      <c r="J811" s="132"/>
      <c r="K811" s="137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>
      <c r="A812" s="2"/>
      <c r="B812" s="142"/>
      <c r="C812" s="131"/>
      <c r="D812" s="131"/>
      <c r="E812" s="131"/>
      <c r="F812" s="131"/>
      <c r="G812" s="132"/>
      <c r="H812" s="133"/>
      <c r="I812" s="133"/>
      <c r="J812" s="132"/>
      <c r="K812" s="137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>
      <c r="A813" s="2"/>
      <c r="B813" s="142"/>
      <c r="C813" s="131"/>
      <c r="D813" s="131"/>
      <c r="E813" s="131"/>
      <c r="F813" s="131"/>
      <c r="G813" s="132"/>
      <c r="H813" s="133"/>
      <c r="I813" s="133"/>
      <c r="J813" s="132"/>
      <c r="K813" s="137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>
      <c r="A814" s="2"/>
      <c r="B814" s="142"/>
      <c r="C814" s="131"/>
      <c r="D814" s="131"/>
      <c r="E814" s="131"/>
      <c r="F814" s="131"/>
      <c r="G814" s="132"/>
      <c r="H814" s="133"/>
      <c r="I814" s="133"/>
      <c r="J814" s="132"/>
      <c r="K814" s="137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>
      <c r="A815" s="2"/>
      <c r="B815" s="142"/>
      <c r="C815" s="131"/>
      <c r="D815" s="131"/>
      <c r="E815" s="131"/>
      <c r="F815" s="131"/>
      <c r="G815" s="132"/>
      <c r="H815" s="133"/>
      <c r="I815" s="133"/>
      <c r="J815" s="132"/>
      <c r="K815" s="137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>
      <c r="A816" s="2"/>
      <c r="B816" s="142"/>
      <c r="C816" s="131"/>
      <c r="D816" s="131"/>
      <c r="E816" s="131"/>
      <c r="F816" s="131"/>
      <c r="G816" s="132"/>
      <c r="H816" s="133"/>
      <c r="I816" s="133"/>
      <c r="J816" s="132"/>
      <c r="K816" s="137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>
      <c r="A817" s="2"/>
      <c r="B817" s="142"/>
      <c r="C817" s="131"/>
      <c r="D817" s="131"/>
      <c r="E817" s="131"/>
      <c r="F817" s="131"/>
      <c r="G817" s="132"/>
      <c r="H817" s="133"/>
      <c r="I817" s="133"/>
      <c r="J817" s="132"/>
      <c r="K817" s="137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>
      <c r="A818" s="2"/>
      <c r="B818" s="142"/>
      <c r="C818" s="131"/>
      <c r="D818" s="131"/>
      <c r="E818" s="131"/>
      <c r="F818" s="131"/>
      <c r="G818" s="132"/>
      <c r="H818" s="133"/>
      <c r="I818" s="133"/>
      <c r="J818" s="132"/>
      <c r="K818" s="137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>
      <c r="A819" s="2"/>
      <c r="B819" s="142"/>
      <c r="C819" s="131"/>
      <c r="D819" s="131"/>
      <c r="E819" s="131"/>
      <c r="F819" s="131"/>
      <c r="G819" s="132"/>
      <c r="H819" s="133"/>
      <c r="I819" s="133"/>
      <c r="J819" s="132"/>
      <c r="K819" s="137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>
      <c r="A820" s="2"/>
      <c r="B820" s="142"/>
      <c r="C820" s="131"/>
      <c r="D820" s="131"/>
      <c r="E820" s="131"/>
      <c r="F820" s="131"/>
      <c r="G820" s="132"/>
      <c r="H820" s="133"/>
      <c r="I820" s="133"/>
      <c r="J820" s="132"/>
      <c r="K820" s="137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>
      <c r="A821" s="2"/>
      <c r="B821" s="142"/>
      <c r="C821" s="131"/>
      <c r="D821" s="131"/>
      <c r="E821" s="131"/>
      <c r="F821" s="131"/>
      <c r="G821" s="132"/>
      <c r="H821" s="133"/>
      <c r="I821" s="133"/>
      <c r="J821" s="132"/>
      <c r="K821" s="6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>
      <c r="A822" s="2"/>
      <c r="B822" s="142"/>
      <c r="C822" s="131"/>
      <c r="D822" s="131"/>
      <c r="E822" s="131"/>
      <c r="F822" s="131"/>
      <c r="G822" s="132"/>
      <c r="H822" s="133"/>
      <c r="I822" s="133"/>
      <c r="J822" s="132"/>
      <c r="K822" s="6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>
      <c r="A823" s="2"/>
      <c r="B823" s="142"/>
      <c r="C823" s="131"/>
      <c r="D823" s="131"/>
      <c r="E823" s="131"/>
      <c r="F823" s="131"/>
      <c r="G823" s="132"/>
      <c r="H823" s="133"/>
      <c r="I823" s="133"/>
      <c r="J823" s="132"/>
      <c r="K823" s="6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>
      <c r="A824" s="2"/>
      <c r="B824" s="142"/>
      <c r="C824" s="131"/>
      <c r="D824" s="131"/>
      <c r="E824" s="131"/>
      <c r="F824" s="131"/>
      <c r="G824" s="132"/>
      <c r="H824" s="133"/>
      <c r="I824" s="133"/>
      <c r="J824" s="132"/>
      <c r="K824" s="6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>
      <c r="A825" s="2"/>
      <c r="B825" s="142"/>
      <c r="C825" s="131"/>
      <c r="D825" s="131"/>
      <c r="E825" s="131"/>
      <c r="F825" s="131"/>
      <c r="G825" s="132"/>
      <c r="H825" s="133"/>
      <c r="I825" s="133"/>
      <c r="J825" s="132"/>
      <c r="K825" s="6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>
      <c r="A826" s="2"/>
      <c r="B826" s="142"/>
      <c r="C826" s="131"/>
      <c r="D826" s="131"/>
      <c r="E826" s="131"/>
      <c r="F826" s="131"/>
      <c r="G826" s="132"/>
      <c r="H826" s="133"/>
      <c r="I826" s="133"/>
      <c r="J826" s="132"/>
      <c r="K826" s="6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>
      <c r="A827" s="2"/>
      <c r="B827" s="142"/>
      <c r="C827" s="131"/>
      <c r="D827" s="131"/>
      <c r="E827" s="131"/>
      <c r="F827" s="131"/>
      <c r="G827" s="132"/>
      <c r="H827" s="133"/>
      <c r="I827" s="133"/>
      <c r="J827" s="132"/>
      <c r="K827" s="6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>
      <c r="A828" s="2"/>
      <c r="B828" s="142"/>
      <c r="C828" s="131"/>
      <c r="D828" s="131"/>
      <c r="E828" s="131"/>
      <c r="F828" s="131"/>
      <c r="G828" s="132"/>
      <c r="H828" s="133"/>
      <c r="I828" s="133"/>
      <c r="J828" s="132"/>
      <c r="K828" s="6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>
      <c r="A829" s="2"/>
      <c r="B829" s="142"/>
      <c r="C829" s="131"/>
      <c r="D829" s="131"/>
      <c r="E829" s="131"/>
      <c r="F829" s="131"/>
      <c r="G829" s="132"/>
      <c r="H829" s="133"/>
      <c r="I829" s="133"/>
      <c r="J829" s="132"/>
      <c r="K829" s="6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>
      <c r="A830" s="2"/>
      <c r="B830" s="142"/>
      <c r="C830" s="131"/>
      <c r="D830" s="131"/>
      <c r="E830" s="131"/>
      <c r="F830" s="131"/>
      <c r="G830" s="132"/>
      <c r="H830" s="133"/>
      <c r="I830" s="133"/>
      <c r="J830" s="132"/>
      <c r="K830" s="6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>
      <c r="A831" s="2"/>
      <c r="B831" s="142"/>
      <c r="C831" s="131"/>
      <c r="D831" s="131"/>
      <c r="E831" s="131"/>
      <c r="F831" s="131"/>
      <c r="G831" s="132"/>
      <c r="H831" s="133"/>
      <c r="I831" s="133"/>
      <c r="J831" s="132"/>
      <c r="K831" s="6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>
      <c r="A832" s="2"/>
      <c r="B832" s="142"/>
      <c r="C832" s="131"/>
      <c r="D832" s="131"/>
      <c r="E832" s="131"/>
      <c r="F832" s="131"/>
      <c r="G832" s="132"/>
      <c r="H832" s="133"/>
      <c r="I832" s="133"/>
      <c r="J832" s="132"/>
      <c r="K832" s="6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>
      <c r="A833" s="2"/>
      <c r="B833" s="142"/>
      <c r="C833" s="131"/>
      <c r="D833" s="131"/>
      <c r="E833" s="131"/>
      <c r="F833" s="131"/>
      <c r="G833" s="132"/>
      <c r="H833" s="133"/>
      <c r="I833" s="133"/>
      <c r="J833" s="132"/>
      <c r="K833" s="6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>
      <c r="A834" s="2"/>
      <c r="B834" s="142"/>
      <c r="C834" s="131"/>
      <c r="D834" s="131"/>
      <c r="E834" s="131"/>
      <c r="F834" s="131"/>
      <c r="G834" s="132"/>
      <c r="H834" s="133"/>
      <c r="I834" s="133"/>
      <c r="J834" s="132"/>
      <c r="K834" s="6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>
      <c r="A835" s="2"/>
      <c r="B835" s="142"/>
      <c r="C835" s="131"/>
      <c r="D835" s="131"/>
      <c r="E835" s="131"/>
      <c r="F835" s="131"/>
      <c r="G835" s="132"/>
      <c r="H835" s="133"/>
      <c r="I835" s="133"/>
      <c r="J835" s="132"/>
      <c r="K835" s="6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>
      <c r="A836" s="2"/>
      <c r="B836" s="142"/>
      <c r="C836" s="131"/>
      <c r="D836" s="131"/>
      <c r="E836" s="131"/>
      <c r="F836" s="131"/>
      <c r="G836" s="132"/>
      <c r="H836" s="133"/>
      <c r="I836" s="133"/>
      <c r="J836" s="132"/>
      <c r="K836" s="6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>
      <c r="A837" s="2"/>
      <c r="B837" s="142"/>
      <c r="C837" s="131"/>
      <c r="D837" s="131"/>
      <c r="E837" s="131"/>
      <c r="F837" s="131"/>
      <c r="G837" s="132"/>
      <c r="H837" s="133"/>
      <c r="I837" s="133"/>
      <c r="J837" s="132"/>
      <c r="K837" s="6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>
      <c r="A838" s="2"/>
      <c r="B838" s="142"/>
      <c r="C838" s="131"/>
      <c r="D838" s="131"/>
      <c r="E838" s="131"/>
      <c r="F838" s="131"/>
      <c r="G838" s="132"/>
      <c r="H838" s="133"/>
      <c r="I838" s="133"/>
      <c r="J838" s="132"/>
      <c r="K838" s="6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>
      <c r="A839" s="2"/>
      <c r="B839" s="142"/>
      <c r="C839" s="131"/>
      <c r="D839" s="131"/>
      <c r="E839" s="131"/>
      <c r="F839" s="131"/>
      <c r="G839" s="132"/>
      <c r="H839" s="133"/>
      <c r="I839" s="133"/>
      <c r="J839" s="132"/>
      <c r="K839" s="6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>
      <c r="A840" s="2"/>
      <c r="B840" s="142"/>
      <c r="C840" s="131"/>
      <c r="D840" s="131"/>
      <c r="E840" s="131"/>
      <c r="F840" s="131"/>
      <c r="G840" s="132"/>
      <c r="H840" s="133"/>
      <c r="I840" s="133"/>
      <c r="J840" s="132"/>
      <c r="K840" s="6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>
      <c r="A841" s="2"/>
      <c r="B841" s="142"/>
      <c r="C841" s="131"/>
      <c r="D841" s="131"/>
      <c r="E841" s="131"/>
      <c r="F841" s="131"/>
      <c r="G841" s="132"/>
      <c r="H841" s="133"/>
      <c r="I841" s="133"/>
      <c r="J841" s="132"/>
      <c r="K841" s="6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>
      <c r="A842" s="2"/>
      <c r="B842" s="142"/>
      <c r="C842" s="131"/>
      <c r="D842" s="131"/>
      <c r="E842" s="131"/>
      <c r="F842" s="131"/>
      <c r="G842" s="132"/>
      <c r="H842" s="133"/>
      <c r="I842" s="133"/>
      <c r="J842" s="132"/>
      <c r="K842" s="6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>
      <c r="A843" s="2"/>
      <c r="B843" s="142"/>
      <c r="C843" s="131"/>
      <c r="D843" s="131"/>
      <c r="E843" s="131"/>
      <c r="F843" s="131"/>
      <c r="G843" s="132"/>
      <c r="H843" s="133"/>
      <c r="I843" s="133"/>
      <c r="J843" s="132"/>
      <c r="K843" s="6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>
      <c r="A844" s="2"/>
      <c r="B844" s="142"/>
      <c r="C844" s="131"/>
      <c r="D844" s="131"/>
      <c r="E844" s="131"/>
      <c r="F844" s="131"/>
      <c r="G844" s="132"/>
      <c r="H844" s="133"/>
      <c r="I844" s="133"/>
      <c r="J844" s="132"/>
      <c r="K844" s="6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>
      <c r="A845" s="2"/>
      <c r="B845" s="142"/>
      <c r="C845" s="131"/>
      <c r="D845" s="131"/>
      <c r="E845" s="131"/>
      <c r="F845" s="131"/>
      <c r="G845" s="132"/>
      <c r="H845" s="133"/>
      <c r="I845" s="133"/>
      <c r="J845" s="132"/>
      <c r="K845" s="6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>
      <c r="A846" s="2"/>
      <c r="B846" s="142"/>
      <c r="C846" s="131"/>
      <c r="D846" s="131"/>
      <c r="E846" s="131"/>
      <c r="F846" s="131"/>
      <c r="G846" s="132"/>
      <c r="H846" s="133"/>
      <c r="I846" s="133"/>
      <c r="J846" s="132"/>
      <c r="K846" s="6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>
      <c r="A847" s="2"/>
      <c r="B847" s="142"/>
      <c r="C847" s="131"/>
      <c r="D847" s="131"/>
      <c r="E847" s="131"/>
      <c r="F847" s="131"/>
      <c r="G847" s="132"/>
      <c r="H847" s="133"/>
      <c r="I847" s="133"/>
      <c r="J847" s="132"/>
      <c r="K847" s="6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>
      <c r="A848" s="2"/>
      <c r="B848" s="142"/>
      <c r="C848" s="131"/>
      <c r="D848" s="131"/>
      <c r="E848" s="131"/>
      <c r="F848" s="131"/>
      <c r="G848" s="132"/>
      <c r="H848" s="133"/>
      <c r="I848" s="133"/>
      <c r="J848" s="132"/>
      <c r="K848" s="6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>
      <c r="A849" s="2"/>
      <c r="B849" s="142"/>
      <c r="C849" s="131"/>
      <c r="D849" s="131"/>
      <c r="E849" s="131"/>
      <c r="F849" s="131"/>
      <c r="G849" s="132"/>
      <c r="H849" s="133"/>
      <c r="I849" s="133"/>
      <c r="J849" s="132"/>
      <c r="K849" s="6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>
      <c r="A850" s="2"/>
      <c r="B850" s="142"/>
      <c r="C850" s="131"/>
      <c r="D850" s="131"/>
      <c r="E850" s="131"/>
      <c r="F850" s="131"/>
      <c r="G850" s="132"/>
      <c r="H850" s="133"/>
      <c r="I850" s="133"/>
      <c r="J850" s="132"/>
      <c r="K850" s="6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>
      <c r="A851" s="2"/>
      <c r="B851" s="142"/>
      <c r="C851" s="131"/>
      <c r="D851" s="131"/>
      <c r="E851" s="131"/>
      <c r="F851" s="131"/>
      <c r="G851" s="132"/>
      <c r="H851" s="133"/>
      <c r="I851" s="133"/>
      <c r="J851" s="132"/>
      <c r="K851" s="6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>
      <c r="A852" s="2"/>
      <c r="B852" s="142"/>
      <c r="C852" s="131"/>
      <c r="D852" s="131"/>
      <c r="E852" s="131"/>
      <c r="F852" s="131"/>
      <c r="G852" s="132"/>
      <c r="H852" s="133"/>
      <c r="I852" s="133"/>
      <c r="J852" s="132"/>
      <c r="K852" s="6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>
      <c r="A853" s="2"/>
      <c r="B853" s="142"/>
      <c r="C853" s="131"/>
      <c r="D853" s="131"/>
      <c r="E853" s="131"/>
      <c r="F853" s="131"/>
      <c r="G853" s="132"/>
      <c r="H853" s="133"/>
      <c r="I853" s="133"/>
      <c r="J853" s="132"/>
      <c r="K853" s="6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>
      <c r="A854" s="2"/>
      <c r="B854" s="142"/>
      <c r="C854" s="131"/>
      <c r="D854" s="131"/>
      <c r="E854" s="131"/>
      <c r="F854" s="131"/>
      <c r="G854" s="132"/>
      <c r="H854" s="133"/>
      <c r="I854" s="133"/>
      <c r="J854" s="132"/>
      <c r="K854" s="6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>
      <c r="A855" s="2"/>
      <c r="B855" s="142"/>
      <c r="C855" s="131"/>
      <c r="D855" s="131"/>
      <c r="E855" s="131"/>
      <c r="F855" s="131"/>
      <c r="G855" s="132"/>
      <c r="H855" s="133"/>
      <c r="I855" s="133"/>
      <c r="J855" s="132"/>
      <c r="K855" s="6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>
      <c r="A856" s="2"/>
      <c r="B856" s="142"/>
      <c r="C856" s="131"/>
      <c r="D856" s="131"/>
      <c r="E856" s="131"/>
      <c r="F856" s="131"/>
      <c r="G856" s="132"/>
      <c r="H856" s="133"/>
      <c r="I856" s="133"/>
      <c r="J856" s="132"/>
      <c r="K856" s="6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>
      <c r="A857" s="2"/>
      <c r="B857" s="142"/>
      <c r="C857" s="131"/>
      <c r="D857" s="131"/>
      <c r="E857" s="131"/>
      <c r="F857" s="131"/>
      <c r="G857" s="132"/>
      <c r="H857" s="133"/>
      <c r="I857" s="133"/>
      <c r="J857" s="132"/>
      <c r="K857" s="6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>
      <c r="A858" s="2"/>
      <c r="B858" s="142"/>
      <c r="C858" s="131"/>
      <c r="D858" s="131"/>
      <c r="E858" s="131"/>
      <c r="F858" s="131"/>
      <c r="G858" s="132"/>
      <c r="H858" s="133"/>
      <c r="I858" s="133"/>
      <c r="J858" s="132"/>
      <c r="K858" s="6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>
      <c r="A859" s="2"/>
      <c r="B859" s="142"/>
      <c r="C859" s="131"/>
      <c r="D859" s="131"/>
      <c r="E859" s="131"/>
      <c r="F859" s="131"/>
      <c r="G859" s="132"/>
      <c r="H859" s="133"/>
      <c r="I859" s="133"/>
      <c r="J859" s="132"/>
      <c r="K859" s="6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>
      <c r="A860" s="2"/>
      <c r="B860" s="142"/>
      <c r="C860" s="131"/>
      <c r="D860" s="131"/>
      <c r="E860" s="131"/>
      <c r="F860" s="131"/>
      <c r="G860" s="132"/>
      <c r="H860" s="133"/>
      <c r="I860" s="133"/>
      <c r="J860" s="132"/>
      <c r="K860" s="6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2"/>
      <c r="B861" s="142"/>
      <c r="C861" s="131"/>
      <c r="D861" s="131"/>
      <c r="E861" s="131"/>
      <c r="F861" s="131"/>
      <c r="G861" s="132"/>
      <c r="H861" s="133"/>
      <c r="I861" s="133"/>
      <c r="J861" s="132"/>
      <c r="K861" s="6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2"/>
      <c r="B862" s="142"/>
      <c r="C862" s="131"/>
      <c r="D862" s="131"/>
      <c r="E862" s="131"/>
      <c r="F862" s="131"/>
      <c r="G862" s="132"/>
      <c r="H862" s="133"/>
      <c r="I862" s="133"/>
      <c r="J862" s="132"/>
      <c r="K862" s="6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2"/>
      <c r="B863" s="142"/>
      <c r="C863" s="131"/>
      <c r="D863" s="131"/>
      <c r="E863" s="131"/>
      <c r="F863" s="131"/>
      <c r="G863" s="132"/>
      <c r="H863" s="133"/>
      <c r="I863" s="133"/>
      <c r="J863" s="132"/>
      <c r="K863" s="6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2"/>
      <c r="B864" s="142"/>
      <c r="C864" s="131"/>
      <c r="D864" s="131"/>
      <c r="E864" s="131"/>
      <c r="F864" s="131"/>
      <c r="G864" s="132"/>
      <c r="H864" s="133"/>
      <c r="I864" s="133"/>
      <c r="J864" s="132"/>
      <c r="K864" s="6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2"/>
      <c r="B865" s="142"/>
      <c r="C865" s="131"/>
      <c r="D865" s="131"/>
      <c r="E865" s="131"/>
      <c r="F865" s="131"/>
      <c r="G865" s="132"/>
      <c r="H865" s="133"/>
      <c r="I865" s="133"/>
      <c r="J865" s="132"/>
      <c r="K865" s="6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2"/>
      <c r="B866" s="142"/>
      <c r="C866" s="131"/>
      <c r="D866" s="131"/>
      <c r="E866" s="131"/>
      <c r="F866" s="131"/>
      <c r="G866" s="132"/>
      <c r="H866" s="133"/>
      <c r="I866" s="133"/>
      <c r="J866" s="132"/>
      <c r="K866" s="6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2"/>
      <c r="B867" s="142"/>
      <c r="C867" s="131"/>
      <c r="D867" s="131"/>
      <c r="E867" s="131"/>
      <c r="F867" s="131"/>
      <c r="G867" s="132"/>
      <c r="H867" s="133"/>
      <c r="I867" s="133"/>
      <c r="J867" s="132"/>
      <c r="K867" s="6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2"/>
      <c r="B868" s="142"/>
      <c r="C868" s="131"/>
      <c r="D868" s="131"/>
      <c r="E868" s="131"/>
      <c r="F868" s="131"/>
      <c r="G868" s="132"/>
      <c r="H868" s="133"/>
      <c r="I868" s="133"/>
      <c r="J868" s="132"/>
      <c r="K868" s="6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2"/>
      <c r="B869" s="142"/>
      <c r="C869" s="131"/>
      <c r="D869" s="131"/>
      <c r="E869" s="131"/>
      <c r="F869" s="131"/>
      <c r="G869" s="132"/>
      <c r="H869" s="133"/>
      <c r="I869" s="133"/>
      <c r="J869" s="132"/>
      <c r="K869" s="6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2"/>
      <c r="B870" s="142"/>
      <c r="C870" s="131"/>
      <c r="D870" s="131"/>
      <c r="E870" s="131"/>
      <c r="F870" s="131"/>
      <c r="G870" s="132"/>
      <c r="H870" s="133"/>
      <c r="I870" s="133"/>
      <c r="J870" s="132"/>
      <c r="K870" s="6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2"/>
      <c r="B871" s="142"/>
      <c r="C871" s="131"/>
      <c r="D871" s="131"/>
      <c r="E871" s="131"/>
      <c r="F871" s="131"/>
      <c r="G871" s="132"/>
      <c r="H871" s="133"/>
      <c r="I871" s="133"/>
      <c r="J871" s="132"/>
      <c r="K871" s="6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2"/>
      <c r="B872" s="142"/>
      <c r="C872" s="131"/>
      <c r="D872" s="131"/>
      <c r="E872" s="131"/>
      <c r="F872" s="131"/>
      <c r="G872" s="132"/>
      <c r="H872" s="133"/>
      <c r="I872" s="133"/>
      <c r="J872" s="132"/>
      <c r="K872" s="6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2"/>
      <c r="B873" s="142"/>
      <c r="C873" s="131"/>
      <c r="D873" s="131"/>
      <c r="E873" s="131"/>
      <c r="F873" s="131"/>
      <c r="G873" s="132"/>
      <c r="H873" s="133"/>
      <c r="I873" s="133"/>
      <c r="J873" s="132"/>
      <c r="K873" s="6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2"/>
      <c r="B874" s="142"/>
      <c r="C874" s="131"/>
      <c r="D874" s="131"/>
      <c r="E874" s="131"/>
      <c r="F874" s="131"/>
      <c r="G874" s="132"/>
      <c r="H874" s="133"/>
      <c r="I874" s="133"/>
      <c r="J874" s="132"/>
      <c r="K874" s="6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2"/>
      <c r="B875" s="142"/>
      <c r="C875" s="131"/>
      <c r="D875" s="131"/>
      <c r="E875" s="131"/>
      <c r="F875" s="131"/>
      <c r="G875" s="132"/>
      <c r="H875" s="133"/>
      <c r="I875" s="133"/>
      <c r="J875" s="132"/>
      <c r="K875" s="6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2"/>
      <c r="B876" s="142"/>
      <c r="C876" s="131"/>
      <c r="D876" s="131"/>
      <c r="E876" s="131"/>
      <c r="F876" s="131"/>
      <c r="G876" s="132"/>
      <c r="H876" s="133"/>
      <c r="I876" s="133"/>
      <c r="J876" s="132"/>
      <c r="K876" s="6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2"/>
      <c r="B877" s="142"/>
      <c r="C877" s="131"/>
      <c r="D877" s="131"/>
      <c r="E877" s="131"/>
      <c r="F877" s="131"/>
      <c r="G877" s="132"/>
      <c r="H877" s="133"/>
      <c r="I877" s="133"/>
      <c r="J877" s="132"/>
      <c r="K877" s="6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2"/>
      <c r="B878" s="142"/>
      <c r="C878" s="131"/>
      <c r="D878" s="131"/>
      <c r="E878" s="131"/>
      <c r="F878" s="131"/>
      <c r="G878" s="132"/>
      <c r="H878" s="133"/>
      <c r="I878" s="133"/>
      <c r="J878" s="132"/>
      <c r="K878" s="6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2"/>
      <c r="B879" s="142"/>
      <c r="C879" s="131"/>
      <c r="D879" s="131"/>
      <c r="E879" s="131"/>
      <c r="F879" s="131"/>
      <c r="G879" s="132"/>
      <c r="H879" s="133"/>
      <c r="I879" s="133"/>
      <c r="J879" s="132"/>
      <c r="K879" s="6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2"/>
      <c r="B880" s="142"/>
      <c r="C880" s="131"/>
      <c r="D880" s="131"/>
      <c r="E880" s="131"/>
      <c r="F880" s="131"/>
      <c r="G880" s="132"/>
      <c r="H880" s="133"/>
      <c r="I880" s="133"/>
      <c r="J880" s="132"/>
      <c r="K880" s="6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2"/>
      <c r="B881" s="142"/>
      <c r="C881" s="131"/>
      <c r="D881" s="131"/>
      <c r="E881" s="131"/>
      <c r="F881" s="131"/>
      <c r="G881" s="132"/>
      <c r="H881" s="133"/>
      <c r="I881" s="133"/>
      <c r="J881" s="132"/>
      <c r="K881" s="6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2"/>
      <c r="B882" s="142"/>
      <c r="C882" s="131"/>
      <c r="D882" s="131"/>
      <c r="E882" s="131"/>
      <c r="F882" s="131"/>
      <c r="G882" s="132"/>
      <c r="H882" s="133"/>
      <c r="I882" s="133"/>
      <c r="J882" s="132"/>
      <c r="K882" s="6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2"/>
      <c r="B883" s="142"/>
      <c r="C883" s="131"/>
      <c r="D883" s="131"/>
      <c r="E883" s="131"/>
      <c r="F883" s="131"/>
      <c r="G883" s="132"/>
      <c r="H883" s="133"/>
      <c r="I883" s="133"/>
      <c r="J883" s="132"/>
      <c r="K883" s="6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2"/>
      <c r="B884" s="142"/>
      <c r="C884" s="131"/>
      <c r="D884" s="131"/>
      <c r="E884" s="131"/>
      <c r="F884" s="131"/>
      <c r="G884" s="132"/>
      <c r="H884" s="133"/>
      <c r="I884" s="133"/>
      <c r="J884" s="132"/>
      <c r="K884" s="6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2"/>
      <c r="B885" s="142"/>
      <c r="C885" s="131"/>
      <c r="D885" s="131"/>
      <c r="E885" s="131"/>
      <c r="F885" s="131"/>
      <c r="G885" s="132"/>
      <c r="H885" s="133"/>
      <c r="I885" s="133"/>
      <c r="J885" s="132"/>
      <c r="K885" s="6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2"/>
      <c r="B886" s="142"/>
      <c r="C886" s="131"/>
      <c r="D886" s="131"/>
      <c r="E886" s="131"/>
      <c r="F886" s="131"/>
      <c r="G886" s="132"/>
      <c r="H886" s="133"/>
      <c r="I886" s="133"/>
      <c r="J886" s="132"/>
      <c r="K886" s="6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2"/>
      <c r="B887" s="142"/>
      <c r="C887" s="131"/>
      <c r="D887" s="131"/>
      <c r="E887" s="131"/>
      <c r="F887" s="131"/>
      <c r="G887" s="132"/>
      <c r="H887" s="133"/>
      <c r="I887" s="133"/>
      <c r="J887" s="132"/>
      <c r="K887" s="6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2"/>
      <c r="B888" s="142"/>
      <c r="C888" s="131"/>
      <c r="D888" s="131"/>
      <c r="E888" s="131"/>
      <c r="F888" s="131"/>
      <c r="G888" s="132"/>
      <c r="H888" s="133"/>
      <c r="I888" s="133"/>
      <c r="J888" s="132"/>
      <c r="K888" s="6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2"/>
      <c r="B889" s="142"/>
      <c r="C889" s="131"/>
      <c r="D889" s="131"/>
      <c r="E889" s="131"/>
      <c r="F889" s="131"/>
      <c r="G889" s="132"/>
      <c r="H889" s="133"/>
      <c r="I889" s="133"/>
      <c r="J889" s="132"/>
      <c r="K889" s="6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2"/>
      <c r="B890" s="142"/>
      <c r="C890" s="131"/>
      <c r="D890" s="131"/>
      <c r="E890" s="131"/>
      <c r="F890" s="131"/>
      <c r="G890" s="132"/>
      <c r="H890" s="133"/>
      <c r="I890" s="133"/>
      <c r="J890" s="132"/>
      <c r="K890" s="6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2"/>
      <c r="B891" s="142"/>
      <c r="C891" s="131"/>
      <c r="D891" s="131"/>
      <c r="E891" s="131"/>
      <c r="F891" s="131"/>
      <c r="G891" s="132"/>
      <c r="H891" s="133"/>
      <c r="I891" s="133"/>
      <c r="J891" s="132"/>
      <c r="K891" s="6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2"/>
      <c r="B892" s="142"/>
      <c r="C892" s="131"/>
      <c r="D892" s="131"/>
      <c r="E892" s="131"/>
      <c r="F892" s="131"/>
      <c r="G892" s="132"/>
      <c r="H892" s="133"/>
      <c r="I892" s="133"/>
      <c r="J892" s="132"/>
      <c r="K892" s="6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2"/>
      <c r="B893" s="142"/>
      <c r="C893" s="131"/>
      <c r="D893" s="131"/>
      <c r="E893" s="131"/>
      <c r="F893" s="131"/>
      <c r="G893" s="132"/>
      <c r="H893" s="133"/>
      <c r="I893" s="133"/>
      <c r="J893" s="132"/>
      <c r="K893" s="6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2"/>
      <c r="B894" s="142"/>
      <c r="C894" s="131"/>
      <c r="D894" s="131"/>
      <c r="E894" s="131"/>
      <c r="F894" s="131"/>
      <c r="G894" s="132"/>
      <c r="H894" s="133"/>
      <c r="I894" s="133"/>
      <c r="J894" s="132"/>
      <c r="K894" s="6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2"/>
      <c r="B895" s="142"/>
      <c r="C895" s="131"/>
      <c r="D895" s="131"/>
      <c r="E895" s="131"/>
      <c r="F895" s="131"/>
      <c r="G895" s="132"/>
      <c r="H895" s="133"/>
      <c r="I895" s="133"/>
      <c r="J895" s="132"/>
      <c r="K895" s="6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2"/>
      <c r="B896" s="142"/>
      <c r="C896" s="131"/>
      <c r="D896" s="131"/>
      <c r="E896" s="131"/>
      <c r="F896" s="131"/>
      <c r="G896" s="132"/>
      <c r="H896" s="133"/>
      <c r="I896" s="133"/>
      <c r="J896" s="132"/>
      <c r="K896" s="6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2"/>
      <c r="B897" s="142"/>
      <c r="C897" s="131"/>
      <c r="D897" s="131"/>
      <c r="E897" s="131"/>
      <c r="F897" s="131"/>
      <c r="G897" s="132"/>
      <c r="H897" s="133"/>
      <c r="I897" s="133"/>
      <c r="J897" s="132"/>
      <c r="K897" s="6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2"/>
      <c r="B898" s="142"/>
      <c r="C898" s="131"/>
      <c r="D898" s="131"/>
      <c r="E898" s="131"/>
      <c r="F898" s="131"/>
      <c r="G898" s="132"/>
      <c r="H898" s="133"/>
      <c r="I898" s="133"/>
      <c r="J898" s="132"/>
      <c r="K898" s="6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2"/>
      <c r="B899" s="142"/>
      <c r="C899" s="131"/>
      <c r="D899" s="131"/>
      <c r="E899" s="131"/>
      <c r="F899" s="131"/>
      <c r="G899" s="132"/>
      <c r="H899" s="133"/>
      <c r="I899" s="133"/>
      <c r="J899" s="132"/>
      <c r="K899" s="6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2"/>
      <c r="B900" s="142"/>
      <c r="C900" s="131"/>
      <c r="D900" s="131"/>
      <c r="E900" s="131"/>
      <c r="F900" s="131"/>
      <c r="G900" s="132"/>
      <c r="H900" s="133"/>
      <c r="I900" s="133"/>
      <c r="J900" s="132"/>
      <c r="K900" s="6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2"/>
      <c r="B901" s="142"/>
      <c r="C901" s="131"/>
      <c r="D901" s="131"/>
      <c r="E901" s="131"/>
      <c r="F901" s="131"/>
      <c r="G901" s="132"/>
      <c r="H901" s="133"/>
      <c r="I901" s="133"/>
      <c r="J901" s="132"/>
      <c r="K901" s="6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2"/>
      <c r="B902" s="142"/>
      <c r="C902" s="131"/>
      <c r="D902" s="131"/>
      <c r="E902" s="131"/>
      <c r="F902" s="131"/>
      <c r="G902" s="132"/>
      <c r="H902" s="133"/>
      <c r="I902" s="133"/>
      <c r="J902" s="132"/>
      <c r="K902" s="6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2"/>
      <c r="B903" s="142"/>
      <c r="C903" s="131"/>
      <c r="D903" s="131"/>
      <c r="E903" s="131"/>
      <c r="F903" s="131"/>
      <c r="G903" s="132"/>
      <c r="H903" s="133"/>
      <c r="I903" s="133"/>
      <c r="J903" s="132"/>
      <c r="K903" s="6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2"/>
      <c r="B904" s="142"/>
      <c r="C904" s="131"/>
      <c r="D904" s="131"/>
      <c r="E904" s="131"/>
      <c r="F904" s="131"/>
      <c r="G904" s="132"/>
      <c r="H904" s="133"/>
      <c r="I904" s="133"/>
      <c r="J904" s="132"/>
      <c r="K904" s="6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2"/>
      <c r="B905" s="142"/>
      <c r="C905" s="131"/>
      <c r="D905" s="131"/>
      <c r="E905" s="131"/>
      <c r="F905" s="131"/>
      <c r="G905" s="132"/>
      <c r="H905" s="133"/>
      <c r="I905" s="133"/>
      <c r="J905" s="132"/>
      <c r="K905" s="6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2"/>
      <c r="B906" s="142"/>
      <c r="C906" s="131"/>
      <c r="D906" s="131"/>
      <c r="E906" s="131"/>
      <c r="F906" s="131"/>
      <c r="G906" s="132"/>
      <c r="H906" s="133"/>
      <c r="I906" s="133"/>
      <c r="J906" s="132"/>
      <c r="K906" s="6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2"/>
      <c r="B907" s="142"/>
      <c r="C907" s="131"/>
      <c r="D907" s="131"/>
      <c r="E907" s="131"/>
      <c r="F907" s="131"/>
      <c r="G907" s="132"/>
      <c r="H907" s="133"/>
      <c r="I907" s="133"/>
      <c r="J907" s="132"/>
      <c r="K907" s="6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2"/>
      <c r="B908" s="142"/>
      <c r="C908" s="131"/>
      <c r="D908" s="131"/>
      <c r="E908" s="131"/>
      <c r="F908" s="131"/>
      <c r="G908" s="132"/>
      <c r="H908" s="133"/>
      <c r="I908" s="133"/>
      <c r="J908" s="132"/>
      <c r="K908" s="6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2"/>
      <c r="B909" s="142"/>
      <c r="C909" s="131"/>
      <c r="D909" s="131"/>
      <c r="E909" s="131"/>
      <c r="F909" s="131"/>
      <c r="G909" s="132"/>
      <c r="H909" s="133"/>
      <c r="I909" s="133"/>
      <c r="J909" s="132"/>
      <c r="K909" s="6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2"/>
      <c r="B910" s="142"/>
      <c r="C910" s="131"/>
      <c r="D910" s="131"/>
      <c r="E910" s="131"/>
      <c r="F910" s="131"/>
      <c r="G910" s="132"/>
      <c r="H910" s="133"/>
      <c r="I910" s="133"/>
      <c r="J910" s="132"/>
      <c r="K910" s="6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2"/>
      <c r="B911" s="142"/>
      <c r="C911" s="131"/>
      <c r="D911" s="131"/>
      <c r="E911" s="131"/>
      <c r="F911" s="131"/>
      <c r="G911" s="132"/>
      <c r="H911" s="133"/>
      <c r="I911" s="133"/>
      <c r="J911" s="132"/>
      <c r="K911" s="6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2"/>
      <c r="B912" s="142"/>
      <c r="C912" s="131"/>
      <c r="D912" s="131"/>
      <c r="E912" s="131"/>
      <c r="F912" s="131"/>
      <c r="G912" s="132"/>
      <c r="H912" s="133"/>
      <c r="I912" s="133"/>
      <c r="J912" s="132"/>
      <c r="K912" s="6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2"/>
      <c r="B913" s="142"/>
      <c r="C913" s="131"/>
      <c r="D913" s="131"/>
      <c r="E913" s="131"/>
      <c r="F913" s="131"/>
      <c r="G913" s="132"/>
      <c r="H913" s="133"/>
      <c r="I913" s="133"/>
      <c r="J913" s="132"/>
      <c r="K913" s="6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2"/>
      <c r="B914" s="142"/>
      <c r="C914" s="131"/>
      <c r="D914" s="131"/>
      <c r="E914" s="131"/>
      <c r="F914" s="131"/>
      <c r="G914" s="132"/>
      <c r="H914" s="133"/>
      <c r="I914" s="133"/>
      <c r="J914" s="132"/>
      <c r="K914" s="6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2"/>
      <c r="B915" s="142"/>
      <c r="C915" s="131"/>
      <c r="D915" s="131"/>
      <c r="E915" s="131"/>
      <c r="F915" s="131"/>
      <c r="G915" s="132"/>
      <c r="H915" s="133"/>
      <c r="I915" s="133"/>
      <c r="J915" s="132"/>
      <c r="K915" s="6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2"/>
      <c r="B916" s="142"/>
      <c r="C916" s="131"/>
      <c r="D916" s="131"/>
      <c r="E916" s="131"/>
      <c r="F916" s="131"/>
      <c r="G916" s="132"/>
      <c r="H916" s="133"/>
      <c r="I916" s="133"/>
      <c r="J916" s="132"/>
      <c r="K916" s="6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2"/>
      <c r="B917" s="142"/>
      <c r="C917" s="131"/>
      <c r="D917" s="131"/>
      <c r="E917" s="131"/>
      <c r="F917" s="131"/>
      <c r="G917" s="132"/>
      <c r="H917" s="133"/>
      <c r="I917" s="133"/>
      <c r="J917" s="132"/>
      <c r="K917" s="6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2"/>
      <c r="B918" s="142"/>
      <c r="C918" s="131"/>
      <c r="D918" s="131"/>
      <c r="E918" s="131"/>
      <c r="F918" s="131"/>
      <c r="G918" s="132"/>
      <c r="H918" s="133"/>
      <c r="I918" s="133"/>
      <c r="J918" s="132"/>
      <c r="K918" s="6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2"/>
      <c r="B919" s="142"/>
      <c r="C919" s="131"/>
      <c r="D919" s="131"/>
      <c r="E919" s="131"/>
      <c r="F919" s="131"/>
      <c r="G919" s="132"/>
      <c r="H919" s="133"/>
      <c r="I919" s="133"/>
      <c r="J919" s="132"/>
      <c r="K919" s="6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2"/>
      <c r="B920" s="142"/>
      <c r="C920" s="131"/>
      <c r="D920" s="131"/>
      <c r="E920" s="131"/>
      <c r="F920" s="131"/>
      <c r="G920" s="132"/>
      <c r="H920" s="133"/>
      <c r="I920" s="133"/>
      <c r="J920" s="132"/>
      <c r="K920" s="6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2"/>
      <c r="B921" s="142"/>
      <c r="C921" s="131"/>
      <c r="D921" s="131"/>
      <c r="E921" s="131"/>
      <c r="F921" s="131"/>
      <c r="G921" s="132"/>
      <c r="H921" s="133"/>
      <c r="I921" s="133"/>
      <c r="J921" s="132"/>
      <c r="K921" s="6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A922" s="2"/>
      <c r="B922" s="142"/>
      <c r="C922" s="131"/>
      <c r="D922" s="131"/>
      <c r="E922" s="131"/>
      <c r="F922" s="131"/>
      <c r="G922" s="132"/>
      <c r="H922" s="133"/>
      <c r="I922" s="133"/>
      <c r="J922" s="132"/>
      <c r="K922" s="6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>
      <c r="A923" s="2"/>
      <c r="B923" s="142"/>
      <c r="C923" s="131"/>
      <c r="D923" s="131"/>
      <c r="E923" s="131"/>
      <c r="F923" s="131"/>
      <c r="G923" s="132"/>
      <c r="H923" s="133"/>
      <c r="I923" s="133"/>
      <c r="J923" s="132"/>
      <c r="K923" s="6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>
      <c r="A924" s="2"/>
      <c r="B924" s="142"/>
      <c r="C924" s="131"/>
      <c r="D924" s="131"/>
      <c r="E924" s="131"/>
      <c r="F924" s="131"/>
      <c r="G924" s="132"/>
      <c r="H924" s="133"/>
      <c r="I924" s="133"/>
      <c r="J924" s="132"/>
      <c r="K924" s="6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>
      <c r="A925" s="2"/>
      <c r="B925" s="142"/>
      <c r="C925" s="131"/>
      <c r="D925" s="131"/>
      <c r="E925" s="131"/>
      <c r="F925" s="131"/>
      <c r="G925" s="132"/>
      <c r="H925" s="133"/>
      <c r="I925" s="133"/>
      <c r="J925" s="132"/>
      <c r="K925" s="6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>
      <c r="A926" s="2"/>
      <c r="B926" s="142"/>
      <c r="C926" s="131"/>
      <c r="D926" s="131"/>
      <c r="E926" s="131"/>
      <c r="F926" s="131"/>
      <c r="G926" s="132"/>
      <c r="H926" s="133"/>
      <c r="I926" s="133"/>
      <c r="J926" s="132"/>
      <c r="K926" s="6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>
      <c r="A927" s="2"/>
      <c r="B927" s="142"/>
      <c r="C927" s="131"/>
      <c r="D927" s="131"/>
      <c r="E927" s="131"/>
      <c r="F927" s="131"/>
      <c r="G927" s="132"/>
      <c r="H927" s="133"/>
      <c r="I927" s="133"/>
      <c r="J927" s="132"/>
      <c r="K927" s="6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>
      <c r="A928" s="2"/>
      <c r="B928" s="142"/>
      <c r="C928" s="131"/>
      <c r="D928" s="131"/>
      <c r="E928" s="131"/>
      <c r="F928" s="131"/>
      <c r="G928" s="132"/>
      <c r="H928" s="133"/>
      <c r="I928" s="133"/>
      <c r="J928" s="132"/>
      <c r="K928" s="6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>
      <c r="A929" s="2"/>
      <c r="B929" s="142"/>
      <c r="C929" s="131"/>
      <c r="D929" s="131"/>
      <c r="E929" s="131"/>
      <c r="F929" s="131"/>
      <c r="G929" s="132"/>
      <c r="H929" s="133"/>
      <c r="I929" s="133"/>
      <c r="J929" s="132"/>
      <c r="K929" s="6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>
      <c r="A930" s="2"/>
      <c r="B930" s="142"/>
      <c r="C930" s="131"/>
      <c r="D930" s="131"/>
      <c r="E930" s="131"/>
      <c r="F930" s="131"/>
      <c r="G930" s="132"/>
      <c r="H930" s="133"/>
      <c r="I930" s="133"/>
      <c r="J930" s="132"/>
      <c r="K930" s="6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>
      <c r="A931" s="2"/>
      <c r="B931" s="142"/>
      <c r="C931" s="131"/>
      <c r="D931" s="131"/>
      <c r="E931" s="131"/>
      <c r="F931" s="131"/>
      <c r="G931" s="132"/>
      <c r="H931" s="133"/>
      <c r="I931" s="133"/>
      <c r="J931" s="132"/>
      <c r="K931" s="6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>
      <c r="A932" s="2"/>
      <c r="B932" s="142"/>
      <c r="C932" s="131"/>
      <c r="D932" s="131"/>
      <c r="E932" s="131"/>
      <c r="F932" s="131"/>
      <c r="G932" s="132"/>
      <c r="H932" s="133"/>
      <c r="I932" s="133"/>
      <c r="J932" s="132"/>
      <c r="K932" s="6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>
      <c r="A933" s="2"/>
      <c r="B933" s="142"/>
      <c r="C933" s="131"/>
      <c r="D933" s="131"/>
      <c r="E933" s="131"/>
      <c r="F933" s="131"/>
      <c r="G933" s="132"/>
      <c r="H933" s="133"/>
      <c r="I933" s="133"/>
      <c r="J933" s="132"/>
      <c r="K933" s="6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>
      <c r="A934" s="2"/>
      <c r="B934" s="142"/>
      <c r="C934" s="131"/>
      <c r="D934" s="131"/>
      <c r="E934" s="131"/>
      <c r="F934" s="131"/>
      <c r="G934" s="132"/>
      <c r="H934" s="133"/>
      <c r="I934" s="133"/>
      <c r="J934" s="132"/>
      <c r="K934" s="6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>
      <c r="A935" s="2"/>
      <c r="B935" s="142"/>
      <c r="C935" s="131"/>
      <c r="D935" s="131"/>
      <c r="E935" s="131"/>
      <c r="F935" s="131"/>
      <c r="G935" s="132"/>
      <c r="H935" s="133"/>
      <c r="I935" s="133"/>
      <c r="J935" s="132"/>
      <c r="K935" s="6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>
      <c r="A936" s="2"/>
      <c r="B936" s="142"/>
      <c r="C936" s="131"/>
      <c r="D936" s="131"/>
      <c r="E936" s="131"/>
      <c r="F936" s="131"/>
      <c r="G936" s="132"/>
      <c r="H936" s="133"/>
      <c r="I936" s="133"/>
      <c r="J936" s="132"/>
      <c r="K936" s="6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>
      <c r="A937" s="2"/>
      <c r="B937" s="142"/>
      <c r="C937" s="131"/>
      <c r="D937" s="131"/>
      <c r="E937" s="131"/>
      <c r="F937" s="131"/>
      <c r="G937" s="132"/>
      <c r="H937" s="133"/>
      <c r="I937" s="133"/>
      <c r="J937" s="132"/>
      <c r="K937" s="6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>
      <c r="A938" s="2"/>
      <c r="B938" s="142"/>
      <c r="C938" s="131"/>
      <c r="D938" s="131"/>
      <c r="E938" s="131"/>
      <c r="F938" s="131"/>
      <c r="G938" s="132"/>
      <c r="H938" s="133"/>
      <c r="I938" s="133"/>
      <c r="J938" s="132"/>
      <c r="K938" s="6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>
      <c r="A939" s="2"/>
      <c r="B939" s="142"/>
      <c r="C939" s="131"/>
      <c r="D939" s="131"/>
      <c r="E939" s="131"/>
      <c r="F939" s="131"/>
      <c r="G939" s="132"/>
      <c r="H939" s="133"/>
      <c r="I939" s="133"/>
      <c r="J939" s="132"/>
      <c r="K939" s="6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>
      <c r="A940" s="2"/>
      <c r="B940" s="142"/>
      <c r="C940" s="131"/>
      <c r="D940" s="131"/>
      <c r="E940" s="131"/>
      <c r="F940" s="131"/>
      <c r="G940" s="132"/>
      <c r="H940" s="133"/>
      <c r="I940" s="133"/>
      <c r="J940" s="132"/>
      <c r="K940" s="6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>
      <c r="A941" s="2"/>
      <c r="B941" s="142"/>
      <c r="C941" s="131"/>
      <c r="D941" s="131"/>
      <c r="E941" s="131"/>
      <c r="F941" s="131"/>
      <c r="G941" s="132"/>
      <c r="H941" s="133"/>
      <c r="I941" s="133"/>
      <c r="J941" s="132"/>
      <c r="K941" s="6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>
      <c r="A942" s="2"/>
      <c r="B942" s="142"/>
      <c r="C942" s="131"/>
      <c r="D942" s="131"/>
      <c r="E942" s="131"/>
      <c r="F942" s="131"/>
      <c r="G942" s="132"/>
      <c r="H942" s="133"/>
      <c r="I942" s="133"/>
      <c r="J942" s="132"/>
      <c r="K942" s="6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>
      <c r="A943" s="2"/>
      <c r="B943" s="142"/>
      <c r="C943" s="131"/>
      <c r="D943" s="131"/>
      <c r="E943" s="131"/>
      <c r="F943" s="131"/>
      <c r="G943" s="132"/>
      <c r="H943" s="133"/>
      <c r="I943" s="133"/>
      <c r="J943" s="132"/>
      <c r="K943" s="6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>
      <c r="A944" s="2"/>
      <c r="B944" s="142"/>
      <c r="C944" s="131"/>
      <c r="D944" s="131"/>
      <c r="E944" s="131"/>
      <c r="F944" s="131"/>
      <c r="G944" s="132"/>
      <c r="H944" s="133"/>
      <c r="I944" s="133"/>
      <c r="J944" s="132"/>
      <c r="K944" s="6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>
      <c r="A945" s="2"/>
      <c r="B945" s="142"/>
      <c r="C945" s="131"/>
      <c r="D945" s="131"/>
      <c r="E945" s="131"/>
      <c r="F945" s="131"/>
      <c r="G945" s="132"/>
      <c r="H945" s="133"/>
      <c r="I945" s="133"/>
      <c r="J945" s="132"/>
      <c r="K945" s="6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>
      <c r="A946" s="2"/>
      <c r="B946" s="142"/>
      <c r="C946" s="131"/>
      <c r="D946" s="131"/>
      <c r="E946" s="131"/>
      <c r="F946" s="131"/>
      <c r="G946" s="132"/>
      <c r="H946" s="133"/>
      <c r="I946" s="133"/>
      <c r="J946" s="132"/>
      <c r="K946" s="6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>
      <c r="A947" s="2"/>
      <c r="B947" s="142"/>
      <c r="C947" s="131"/>
      <c r="D947" s="131"/>
      <c r="E947" s="131"/>
      <c r="F947" s="131"/>
      <c r="G947" s="132"/>
      <c r="H947" s="133"/>
      <c r="I947" s="133"/>
      <c r="J947" s="132"/>
      <c r="K947" s="6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>
      <c r="A948" s="2"/>
      <c r="B948" s="142"/>
      <c r="C948" s="131"/>
      <c r="D948" s="131"/>
      <c r="E948" s="131"/>
      <c r="F948" s="131"/>
      <c r="G948" s="132"/>
      <c r="H948" s="133"/>
      <c r="I948" s="133"/>
      <c r="J948" s="132"/>
      <c r="K948" s="6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>
      <c r="A949" s="2"/>
      <c r="B949" s="142"/>
      <c r="C949" s="131"/>
      <c r="D949" s="131"/>
      <c r="E949" s="131"/>
      <c r="F949" s="131"/>
      <c r="G949" s="132"/>
      <c r="H949" s="133"/>
      <c r="I949" s="133"/>
      <c r="J949" s="132"/>
      <c r="K949" s="6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>
      <c r="A950" s="2"/>
      <c r="B950" s="142"/>
      <c r="C950" s="131"/>
      <c r="D950" s="131"/>
      <c r="E950" s="131"/>
      <c r="F950" s="131"/>
      <c r="G950" s="132"/>
      <c r="H950" s="133"/>
      <c r="I950" s="133"/>
      <c r="J950" s="132"/>
      <c r="K950" s="6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>
      <c r="A951" s="2"/>
      <c r="B951" s="142"/>
      <c r="C951" s="131"/>
      <c r="D951" s="131"/>
      <c r="E951" s="131"/>
      <c r="F951" s="131"/>
      <c r="G951" s="132"/>
      <c r="H951" s="133"/>
      <c r="I951" s="133"/>
      <c r="J951" s="132"/>
      <c r="K951" s="6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>
      <c r="A952" s="2"/>
      <c r="B952" s="142"/>
      <c r="C952" s="131"/>
      <c r="D952" s="131"/>
      <c r="E952" s="131"/>
      <c r="F952" s="131"/>
      <c r="G952" s="132"/>
      <c r="H952" s="133"/>
      <c r="I952" s="133"/>
      <c r="J952" s="132"/>
      <c r="K952" s="6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>
      <c r="A953" s="2"/>
      <c r="B953" s="142"/>
      <c r="C953" s="131"/>
      <c r="D953" s="131"/>
      <c r="E953" s="131"/>
      <c r="F953" s="131"/>
      <c r="G953" s="132"/>
      <c r="H953" s="133"/>
      <c r="I953" s="133"/>
      <c r="J953" s="132"/>
      <c r="K953" s="6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>
      <c r="A954" s="2"/>
      <c r="B954" s="142"/>
      <c r="C954" s="131"/>
      <c r="D954" s="131"/>
      <c r="E954" s="131"/>
      <c r="F954" s="131"/>
      <c r="G954" s="132"/>
      <c r="H954" s="133"/>
      <c r="I954" s="133"/>
      <c r="J954" s="132"/>
      <c r="K954" s="6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>
      <c r="A955" s="2"/>
      <c r="B955" s="142"/>
      <c r="C955" s="131"/>
      <c r="D955" s="131"/>
      <c r="E955" s="131"/>
      <c r="F955" s="131"/>
      <c r="G955" s="132"/>
      <c r="H955" s="133"/>
      <c r="I955" s="133"/>
      <c r="J955" s="132"/>
      <c r="K955" s="6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>
      <c r="A956" s="2"/>
      <c r="B956" s="142"/>
      <c r="C956" s="131"/>
      <c r="D956" s="131"/>
      <c r="E956" s="131"/>
      <c r="F956" s="131"/>
      <c r="G956" s="132"/>
      <c r="H956" s="133"/>
      <c r="I956" s="133"/>
      <c r="J956" s="132"/>
      <c r="K956" s="6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>
      <c r="A957" s="2"/>
      <c r="B957" s="142"/>
      <c r="C957" s="131"/>
      <c r="D957" s="131"/>
      <c r="E957" s="131"/>
      <c r="F957" s="131"/>
      <c r="G957" s="132"/>
      <c r="H957" s="133"/>
      <c r="I957" s="133"/>
      <c r="J957" s="132"/>
      <c r="K957" s="6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>
      <c r="A958" s="2"/>
      <c r="B958" s="142"/>
      <c r="C958" s="131"/>
      <c r="D958" s="131"/>
      <c r="E958" s="131"/>
      <c r="F958" s="131"/>
      <c r="G958" s="132"/>
      <c r="H958" s="133"/>
      <c r="I958" s="133"/>
      <c r="J958" s="132"/>
      <c r="K958" s="6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>
      <c r="A959" s="2"/>
      <c r="B959" s="142"/>
      <c r="C959" s="131"/>
      <c r="D959" s="131"/>
      <c r="E959" s="131"/>
      <c r="F959" s="131"/>
      <c r="G959" s="132"/>
      <c r="H959" s="133"/>
      <c r="I959" s="133"/>
      <c r="J959" s="132"/>
      <c r="K959" s="6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>
      <c r="A960" s="2"/>
      <c r="B960" s="142"/>
      <c r="C960" s="131"/>
      <c r="D960" s="131"/>
      <c r="E960" s="131"/>
      <c r="F960" s="131"/>
      <c r="G960" s="132"/>
      <c r="H960" s="133"/>
      <c r="I960" s="133"/>
      <c r="J960" s="132"/>
      <c r="K960" s="6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>
      <c r="A961" s="2"/>
      <c r="B961" s="142"/>
      <c r="C961" s="131"/>
      <c r="D961" s="131"/>
      <c r="E961" s="131"/>
      <c r="F961" s="131"/>
      <c r="G961" s="132"/>
      <c r="H961" s="133"/>
      <c r="I961" s="133"/>
      <c r="J961" s="132"/>
      <c r="K961" s="6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>
      <c r="A962" s="2"/>
      <c r="B962" s="142"/>
      <c r="C962" s="131"/>
      <c r="D962" s="131"/>
      <c r="E962" s="131"/>
      <c r="F962" s="131"/>
      <c r="G962" s="132"/>
      <c r="H962" s="133"/>
      <c r="I962" s="133"/>
      <c r="J962" s="132"/>
      <c r="K962" s="6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>
      <c r="A963" s="2"/>
      <c r="B963" s="142"/>
      <c r="C963" s="131"/>
      <c r="D963" s="131"/>
      <c r="E963" s="131"/>
      <c r="F963" s="131"/>
      <c r="G963" s="132"/>
      <c r="H963" s="133"/>
      <c r="I963" s="133"/>
      <c r="J963" s="132"/>
      <c r="K963" s="6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>
      <c r="A964" s="2"/>
      <c r="B964" s="142"/>
      <c r="C964" s="131"/>
      <c r="D964" s="131"/>
      <c r="E964" s="131"/>
      <c r="F964" s="131"/>
      <c r="G964" s="132"/>
      <c r="H964" s="133"/>
      <c r="I964" s="133"/>
      <c r="J964" s="132"/>
      <c r="K964" s="6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>
      <c r="A965" s="2"/>
      <c r="B965" s="142"/>
      <c r="C965" s="131"/>
      <c r="D965" s="131"/>
      <c r="E965" s="131"/>
      <c r="F965" s="131"/>
      <c r="G965" s="132"/>
      <c r="H965" s="133"/>
      <c r="I965" s="133"/>
      <c r="J965" s="132"/>
      <c r="K965" s="6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>
      <c r="A966" s="2"/>
      <c r="B966" s="142"/>
      <c r="C966" s="131"/>
      <c r="D966" s="131"/>
      <c r="E966" s="131"/>
      <c r="F966" s="131"/>
      <c r="G966" s="132"/>
      <c r="H966" s="133"/>
      <c r="I966" s="133"/>
      <c r="J966" s="132"/>
      <c r="K966" s="6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>
      <c r="A967" s="2"/>
      <c r="B967" s="142"/>
      <c r="C967" s="131"/>
      <c r="D967" s="131"/>
      <c r="E967" s="131"/>
      <c r="F967" s="131"/>
      <c r="G967" s="132"/>
      <c r="H967" s="133"/>
      <c r="I967" s="133"/>
      <c r="J967" s="132"/>
      <c r="K967" s="6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>
      <c r="A968" s="2"/>
      <c r="B968" s="142"/>
      <c r="C968" s="131"/>
      <c r="D968" s="131"/>
      <c r="E968" s="131"/>
      <c r="F968" s="131"/>
      <c r="G968" s="132"/>
      <c r="H968" s="133"/>
      <c r="I968" s="133"/>
      <c r="J968" s="132"/>
      <c r="K968" s="6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>
      <c r="A969" s="2"/>
      <c r="B969" s="142"/>
      <c r="C969" s="131"/>
      <c r="D969" s="131"/>
      <c r="E969" s="131"/>
      <c r="F969" s="131"/>
      <c r="G969" s="132"/>
      <c r="H969" s="133"/>
      <c r="I969" s="133"/>
      <c r="J969" s="132"/>
      <c r="K969" s="6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>
      <c r="A970" s="2"/>
      <c r="B970" s="142"/>
      <c r="C970" s="131"/>
      <c r="D970" s="131"/>
      <c r="E970" s="131"/>
      <c r="F970" s="131"/>
      <c r="G970" s="132"/>
      <c r="H970" s="133"/>
      <c r="I970" s="133"/>
      <c r="J970" s="132"/>
      <c r="K970" s="6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>
      <c r="A971" s="2"/>
      <c r="B971" s="142"/>
      <c r="C971" s="131"/>
      <c r="D971" s="131"/>
      <c r="E971" s="131"/>
      <c r="F971" s="131"/>
      <c r="G971" s="132"/>
      <c r="H971" s="133"/>
      <c r="I971" s="133"/>
      <c r="J971" s="132"/>
      <c r="K971" s="6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>
      <c r="A972" s="2"/>
      <c r="B972" s="142"/>
      <c r="C972" s="131"/>
      <c r="D972" s="131"/>
      <c r="E972" s="131"/>
      <c r="F972" s="131"/>
      <c r="G972" s="132"/>
      <c r="H972" s="133"/>
      <c r="I972" s="133"/>
      <c r="J972" s="132"/>
      <c r="K972" s="6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>
      <c r="A973" s="2"/>
      <c r="B973" s="142"/>
      <c r="C973" s="131"/>
      <c r="D973" s="131"/>
      <c r="E973" s="131"/>
      <c r="F973" s="131"/>
      <c r="G973" s="132"/>
      <c r="H973" s="133"/>
      <c r="I973" s="133"/>
      <c r="J973" s="132"/>
      <c r="K973" s="6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>
      <c r="A974" s="2"/>
      <c r="B974" s="142"/>
      <c r="C974" s="131"/>
      <c r="D974" s="131"/>
      <c r="E974" s="131"/>
      <c r="F974" s="131"/>
      <c r="G974" s="132"/>
      <c r="H974" s="133"/>
      <c r="I974" s="133"/>
      <c r="J974" s="132"/>
      <c r="K974" s="6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>
      <c r="A975" s="2"/>
      <c r="B975" s="142"/>
      <c r="C975" s="131"/>
      <c r="D975" s="131"/>
      <c r="E975" s="131"/>
      <c r="F975" s="131"/>
      <c r="G975" s="132"/>
      <c r="H975" s="133"/>
      <c r="I975" s="133"/>
      <c r="J975" s="132"/>
      <c r="K975" s="6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>
      <c r="A976" s="2"/>
      <c r="B976" s="142"/>
      <c r="C976" s="131"/>
      <c r="D976" s="131"/>
      <c r="E976" s="131"/>
      <c r="F976" s="131"/>
      <c r="G976" s="132"/>
      <c r="H976" s="133"/>
      <c r="I976" s="133"/>
      <c r="J976" s="132"/>
      <c r="K976" s="6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>
      <c r="A977" s="2"/>
      <c r="B977" s="142"/>
      <c r="C977" s="131"/>
      <c r="D977" s="131"/>
      <c r="E977" s="131"/>
      <c r="F977" s="131"/>
      <c r="G977" s="132"/>
      <c r="H977" s="133"/>
      <c r="I977" s="133"/>
      <c r="J977" s="132"/>
      <c r="K977" s="6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>
      <c r="A978" s="2"/>
      <c r="B978" s="142"/>
      <c r="C978" s="131"/>
      <c r="D978" s="131"/>
      <c r="E978" s="131"/>
      <c r="F978" s="131"/>
      <c r="G978" s="132"/>
      <c r="H978" s="133"/>
      <c r="I978" s="133"/>
      <c r="J978" s="132"/>
      <c r="K978" s="6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>
      <c r="A979" s="2"/>
      <c r="B979" s="142"/>
      <c r="C979" s="131"/>
      <c r="D979" s="131"/>
      <c r="E979" s="131"/>
      <c r="F979" s="131"/>
      <c r="G979" s="132"/>
      <c r="H979" s="133"/>
      <c r="I979" s="133"/>
      <c r="J979" s="132"/>
      <c r="K979" s="6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>
      <c r="A980" s="2"/>
      <c r="B980" s="142"/>
      <c r="C980" s="131"/>
      <c r="D980" s="131"/>
      <c r="E980" s="131"/>
      <c r="F980" s="131"/>
      <c r="G980" s="132"/>
      <c r="H980" s="133"/>
      <c r="I980" s="133"/>
      <c r="J980" s="132"/>
      <c r="K980" s="6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>
      <c r="A981" s="2"/>
      <c r="B981" s="142"/>
      <c r="C981" s="131"/>
      <c r="D981" s="131"/>
      <c r="E981" s="131"/>
      <c r="F981" s="131"/>
      <c r="G981" s="132"/>
      <c r="H981" s="133"/>
      <c r="I981" s="133"/>
      <c r="J981" s="132"/>
      <c r="K981" s="6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>
      <c r="A982" s="2"/>
      <c r="B982" s="142"/>
      <c r="C982" s="131"/>
      <c r="D982" s="131"/>
      <c r="E982" s="131"/>
      <c r="F982" s="131"/>
      <c r="G982" s="132"/>
      <c r="H982" s="133"/>
      <c r="I982" s="133"/>
      <c r="J982" s="132"/>
      <c r="K982" s="6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>
      <c r="A983" s="2"/>
      <c r="B983" s="142"/>
      <c r="C983" s="131"/>
      <c r="D983" s="131"/>
      <c r="E983" s="131"/>
      <c r="F983" s="131"/>
      <c r="G983" s="132"/>
      <c r="H983" s="133"/>
      <c r="I983" s="133"/>
      <c r="J983" s="132"/>
      <c r="K983" s="6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>
      <c r="A984" s="2"/>
      <c r="B984" s="142"/>
      <c r="C984" s="131"/>
      <c r="D984" s="131"/>
      <c r="E984" s="131"/>
      <c r="F984" s="131"/>
      <c r="G984" s="132"/>
      <c r="H984" s="133"/>
      <c r="I984" s="133"/>
      <c r="J984" s="132"/>
      <c r="K984" s="6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>
      <c r="A985" s="2"/>
      <c r="B985" s="142"/>
      <c r="C985" s="131"/>
      <c r="D985" s="131"/>
      <c r="E985" s="131"/>
      <c r="F985" s="131"/>
      <c r="G985" s="132"/>
      <c r="H985" s="133"/>
      <c r="I985" s="133"/>
      <c r="J985" s="132"/>
      <c r="K985" s="6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>
      <c r="A986" s="2"/>
      <c r="B986" s="142"/>
      <c r="C986" s="131"/>
      <c r="D986" s="131"/>
      <c r="E986" s="131"/>
      <c r="F986" s="131"/>
      <c r="G986" s="132"/>
      <c r="H986" s="133"/>
      <c r="I986" s="133"/>
      <c r="J986" s="132"/>
      <c r="K986" s="6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>
      <c r="A987" s="2"/>
      <c r="B987" s="142"/>
      <c r="C987" s="131"/>
      <c r="D987" s="131"/>
      <c r="E987" s="131"/>
      <c r="F987" s="131"/>
      <c r="G987" s="132"/>
      <c r="H987" s="133"/>
      <c r="I987" s="133"/>
      <c r="J987" s="132"/>
      <c r="K987" s="6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>
      <c r="A988" s="2"/>
      <c r="B988" s="142"/>
      <c r="C988" s="131"/>
      <c r="D988" s="131"/>
      <c r="E988" s="131"/>
      <c r="F988" s="131"/>
      <c r="G988" s="132"/>
      <c r="H988" s="133"/>
      <c r="I988" s="133"/>
      <c r="J988" s="132"/>
      <c r="K988" s="6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>
      <c r="A989" s="2"/>
      <c r="B989" s="142"/>
      <c r="C989" s="131"/>
      <c r="D989" s="131"/>
      <c r="E989" s="131"/>
      <c r="F989" s="131"/>
      <c r="G989" s="132"/>
      <c r="H989" s="133"/>
      <c r="I989" s="133"/>
      <c r="J989" s="132"/>
      <c r="K989" s="6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>
      <c r="A990" s="2"/>
      <c r="B990" s="142"/>
      <c r="C990" s="131"/>
      <c r="D990" s="131"/>
      <c r="E990" s="131"/>
      <c r="F990" s="131"/>
      <c r="G990" s="132"/>
      <c r="H990" s="133"/>
      <c r="I990" s="133"/>
      <c r="J990" s="132"/>
      <c r="K990" s="6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>
      <c r="A991" s="2"/>
      <c r="B991" s="142"/>
      <c r="C991" s="131"/>
      <c r="D991" s="131"/>
      <c r="E991" s="131"/>
      <c r="F991" s="131"/>
      <c r="G991" s="132"/>
      <c r="H991" s="133"/>
      <c r="I991" s="133"/>
      <c r="J991" s="132"/>
      <c r="K991" s="6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>
      <c r="A992" s="2"/>
      <c r="B992" s="142"/>
      <c r="C992" s="131"/>
      <c r="D992" s="131"/>
      <c r="E992" s="131"/>
      <c r="F992" s="131"/>
      <c r="G992" s="132"/>
      <c r="H992" s="133"/>
      <c r="I992" s="133"/>
      <c r="J992" s="132"/>
      <c r="K992" s="6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>
      <c r="A993" s="2"/>
      <c r="B993" s="142"/>
      <c r="C993" s="131"/>
      <c r="D993" s="131"/>
      <c r="E993" s="131"/>
      <c r="F993" s="131"/>
      <c r="G993" s="132"/>
      <c r="H993" s="133"/>
      <c r="I993" s="133"/>
      <c r="J993" s="132"/>
      <c r="K993" s="6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>
      <c r="A994" s="2"/>
      <c r="B994" s="142"/>
      <c r="C994" s="131"/>
      <c r="D994" s="131"/>
      <c r="E994" s="131"/>
      <c r="F994" s="131"/>
      <c r="G994" s="132"/>
      <c r="H994" s="133"/>
      <c r="I994" s="133"/>
      <c r="J994" s="132"/>
      <c r="K994" s="6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>
      <c r="A995" s="2"/>
      <c r="B995" s="142"/>
      <c r="C995" s="131"/>
      <c r="D995" s="131"/>
      <c r="E995" s="131"/>
      <c r="F995" s="131"/>
      <c r="G995" s="132"/>
      <c r="H995" s="133"/>
      <c r="I995" s="133"/>
      <c r="J995" s="132"/>
      <c r="K995" s="6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>
      <c r="A996" s="2"/>
      <c r="B996" s="142"/>
      <c r="C996" s="131"/>
      <c r="D996" s="131"/>
      <c r="E996" s="131"/>
      <c r="F996" s="131"/>
      <c r="G996" s="132"/>
      <c r="H996" s="133"/>
      <c r="I996" s="133"/>
      <c r="J996" s="132"/>
      <c r="K996" s="6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>
      <c r="A997" s="2"/>
      <c r="B997" s="142"/>
      <c r="C997" s="131"/>
      <c r="D997" s="131"/>
      <c r="E997" s="131"/>
      <c r="F997" s="131"/>
      <c r="G997" s="132"/>
      <c r="H997" s="133"/>
      <c r="I997" s="133"/>
      <c r="J997" s="132"/>
      <c r="K997" s="6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>
      <c r="A998" s="2"/>
      <c r="B998" s="142"/>
      <c r="C998" s="131"/>
      <c r="D998" s="131"/>
      <c r="E998" s="131"/>
      <c r="F998" s="131"/>
      <c r="G998" s="132"/>
      <c r="H998" s="133"/>
      <c r="I998" s="133"/>
      <c r="J998" s="132"/>
      <c r="K998" s="6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>
      <c r="A999" s="2"/>
      <c r="B999" s="142"/>
      <c r="C999" s="131"/>
      <c r="D999" s="131"/>
      <c r="E999" s="131"/>
      <c r="F999" s="131"/>
      <c r="G999" s="132"/>
      <c r="H999" s="133"/>
      <c r="I999" s="133"/>
      <c r="J999" s="132"/>
      <c r="K999" s="6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>
      <c r="A1000" s="2"/>
      <c r="B1000" s="142"/>
      <c r="C1000" s="131"/>
      <c r="D1000" s="131"/>
      <c r="E1000" s="131"/>
      <c r="F1000" s="131"/>
      <c r="G1000" s="132"/>
      <c r="H1000" s="133"/>
      <c r="I1000" s="133"/>
      <c r="J1000" s="132"/>
      <c r="K1000" s="6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Col="1"/>
  <cols>
    <col customWidth="1" min="2" max="2" width="11.0"/>
    <col customWidth="1" min="3" max="3" width="6.75"/>
    <col customWidth="1" min="4" max="4" width="19.0"/>
    <col customWidth="1" min="5" max="5" width="6.88"/>
    <col customWidth="1" min="6" max="6" width="22.63"/>
    <col customWidth="1" min="7" max="7" width="18.75"/>
    <col customWidth="1" min="8" max="9" width="10.88"/>
    <col customWidth="1" min="10" max="10" width="11.25"/>
    <col customWidth="1" min="11" max="11" width="12.0"/>
  </cols>
  <sheetData>
    <row r="1">
      <c r="A1" s="2"/>
      <c r="B1" s="5"/>
      <c r="C1" s="5"/>
      <c r="D1" s="5"/>
      <c r="E1" s="5"/>
      <c r="F1" s="5"/>
      <c r="G1" s="46"/>
      <c r="H1" s="7"/>
      <c r="I1" s="7"/>
      <c r="J1" s="46"/>
      <c r="K1" s="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126"/>
      <c r="B2" s="127" t="str">
        <f>IFERROR(__xludf.DUMMYFUNCTION("importrange(""186BTcLZIRRmcGcU5S6nDdN41SUH8zUJ1gFEIezWrRnQ"",""'latvia points'!c2:L207"")"),"Pozīcija kopvērtējumā")</f>
        <v>Pozīcija kopvērtējumā</v>
      </c>
      <c r="C2" s="127" t="str">
        <f>IFERROR(__xludf.DUMMYFUNCTION("""COMPUTED_VALUE"""),"Auto nr.")</f>
        <v>Auto nr.</v>
      </c>
      <c r="D2" s="127" t="str">
        <f>IFERROR(__xludf.DUMMYFUNCTION("""COMPUTED_VALUE"""),"Vārds")</f>
        <v>Vārds</v>
      </c>
      <c r="E2" s="127" t="str">
        <f>IFERROR(__xludf.DUMMYFUNCTION("""COMPUTED_VALUE"""),"Country")</f>
        <v>Country</v>
      </c>
      <c r="F2" s="127" t="str">
        <f>IFERROR(__xludf.DUMMYFUNCTION("""COMPUTED_VALUE"""),"Auto pēdējā brauktajā posmā")</f>
        <v>Auto pēdējā brauktajā posmā</v>
      </c>
      <c r="G2" s="129" t="str">
        <f>IFERROR(__xludf.DUMMYFUNCTION("""COMPUTED_VALUE"""),"Team")</f>
        <v>Team</v>
      </c>
      <c r="H2" s="129" t="str">
        <f>IFERROR(__xludf.DUMMYFUNCTION("""COMPUTED_VALUE"""),"Iegūtie punkti tandēmos")</f>
        <v>Iegūtie punkti tandēmos</v>
      </c>
      <c r="I2" s="128" t="str">
        <f>IFERROR(__xludf.DUMMYFUNCTION("""COMPUTED_VALUE"""),"Iegūtie punkti kvalifikācijā")</f>
        <v>Iegūtie punkti kvalifikācijā</v>
      </c>
      <c r="J2" s="128" t="str">
        <f>IFERROR(__xludf.DUMMYFUNCTION("""COMPUTED_VALUE"""),"Iegūtie punkti iepr. posmos")</f>
        <v>Iegūtie punkti iepr. posmos</v>
      </c>
      <c r="K2" s="20" t="str">
        <f>IFERROR(__xludf.DUMMYFUNCTION("""COMPUTED_VALUE"""),"Kopvērtējuma punkti")</f>
        <v>Kopvērtējuma punkti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>
      <c r="A3" s="13"/>
      <c r="B3" s="131">
        <f>IFERROR(__xludf.DUMMYFUNCTION("""COMPUTED_VALUE"""),1.0)</f>
        <v>1</v>
      </c>
      <c r="C3" s="131">
        <f>IFERROR(__xludf.DUMMYFUNCTION("""COMPUTED_VALUE"""),41.0)</f>
        <v>41</v>
      </c>
      <c r="D3" s="131" t="str">
        <f>IFERROR(__xludf.DUMMYFUNCTION("""COMPUTED_VALUE"""),"Armands Vestmanis")</f>
        <v>Armands Vestmanis</v>
      </c>
      <c r="E3" s="131" t="str">
        <f>IFERROR(__xludf.DUMMYFUNCTION("""COMPUTED_VALUE"""),"Latvia")</f>
        <v>Latvia</v>
      </c>
      <c r="F3" s="131" t="str">
        <f>IFERROR(__xludf.DUMMYFUNCTION("""COMPUTED_VALUE"""),"BMW E36")</f>
        <v>BMW E36</v>
      </c>
      <c r="G3" s="133" t="str">
        <f>IFERROR(__xludf.DUMMYFUNCTION("""COMPUTED_VALUE"""),"RTRiga")</f>
        <v>RTRiga</v>
      </c>
      <c r="H3" s="133">
        <f>IFERROR(__xludf.DUMMYFUNCTION("""COMPUTED_VALUE"""),88.0)</f>
        <v>88</v>
      </c>
      <c r="I3" s="133">
        <f>IFERROR(__xludf.DUMMYFUNCTION("""COMPUTED_VALUE"""),4.0)</f>
        <v>4</v>
      </c>
      <c r="J3" s="133">
        <f>IFERROR(__xludf.DUMMYFUNCTION("""COMPUTED_VALUE"""),136.0)</f>
        <v>136</v>
      </c>
      <c r="K3" s="135">
        <f>IFERROR(__xludf.DUMMYFUNCTION("""COMPUTED_VALUE"""),228.0)</f>
        <v>228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13"/>
      <c r="B4" s="131">
        <f>IFERROR(__xludf.DUMMYFUNCTION("""COMPUTED_VALUE"""),2.0)</f>
        <v>2</v>
      </c>
      <c r="C4" s="131">
        <f>IFERROR(__xludf.DUMMYFUNCTION("""COMPUTED_VALUE"""),18.0)</f>
        <v>18</v>
      </c>
      <c r="D4" s="131" t="str">
        <f>IFERROR(__xludf.DUMMYFUNCTION("""COMPUTED_VALUE"""),"Matīss Lācis")</f>
        <v>Matīss Lācis</v>
      </c>
      <c r="E4" s="131" t="str">
        <f>IFERROR(__xludf.DUMMYFUNCTION("""COMPUTED_VALUE"""),"Latvia")</f>
        <v>Latvia</v>
      </c>
      <c r="F4" s="131" t="str">
        <f>IFERROR(__xludf.DUMMYFUNCTION("""COMPUTED_VALUE"""),"BMW E46")</f>
        <v>BMW E46</v>
      </c>
      <c r="G4" s="133" t="str">
        <f>IFERROR(__xludf.DUMMYFUNCTION("""COMPUTED_VALUE"""),"RTRiga")</f>
        <v>RTRiga</v>
      </c>
      <c r="H4" s="133">
        <f>IFERROR(__xludf.DUMMYFUNCTION("""COMPUTED_VALUE"""),54.0)</f>
        <v>54</v>
      </c>
      <c r="I4" s="133">
        <f>IFERROR(__xludf.DUMMYFUNCTION("""COMPUTED_VALUE"""),2.0)</f>
        <v>2</v>
      </c>
      <c r="J4" s="133">
        <f>IFERROR(__xludf.DUMMYFUNCTION("""COMPUTED_VALUE"""),116.5)</f>
        <v>116.5</v>
      </c>
      <c r="K4" s="135">
        <f>IFERROR(__xludf.DUMMYFUNCTION("""COMPUTED_VALUE"""),172.5)</f>
        <v>172.5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13"/>
      <c r="B5" s="131">
        <f>IFERROR(__xludf.DUMMYFUNCTION("""COMPUTED_VALUE"""),3.0)</f>
        <v>3</v>
      </c>
      <c r="C5" s="131">
        <f>IFERROR(__xludf.DUMMYFUNCTION("""COMPUTED_VALUE"""),37.0)</f>
        <v>37</v>
      </c>
      <c r="D5" s="131" t="str">
        <f>IFERROR(__xludf.DUMMYFUNCTION("""COMPUTED_VALUE"""),"Markuss Milns")</f>
        <v>Markuss Milns</v>
      </c>
      <c r="E5" s="131" t="str">
        <f>IFERROR(__xludf.DUMMYFUNCTION("""COMPUTED_VALUE"""),"Latvia")</f>
        <v>Latvia</v>
      </c>
      <c r="F5" s="131" t="str">
        <f>IFERROR(__xludf.DUMMYFUNCTION("""COMPUTED_VALUE"""),"BMW E36")</f>
        <v>BMW E36</v>
      </c>
      <c r="G5" s="133" t="str">
        <f>IFERROR(__xludf.DUMMYFUNCTION("""COMPUTED_VALUE"""),"Drifta Halle")</f>
        <v>Drifta Halle</v>
      </c>
      <c r="H5" s="133">
        <f>IFERROR(__xludf.DUMMYFUNCTION("""COMPUTED_VALUE"""),10.0)</f>
        <v>10</v>
      </c>
      <c r="I5" s="133">
        <f>IFERROR(__xludf.DUMMYFUNCTION("""COMPUTED_VALUE"""),0.1)</f>
        <v>0.1</v>
      </c>
      <c r="J5" s="133">
        <f>IFERROR(__xludf.DUMMYFUNCTION("""COMPUTED_VALUE"""),127.5)</f>
        <v>127.5</v>
      </c>
      <c r="K5" s="135">
        <f>IFERROR(__xludf.DUMMYFUNCTION("""COMPUTED_VALUE"""),137.6)</f>
        <v>137.6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13"/>
      <c r="B6" s="131">
        <f>IFERROR(__xludf.DUMMYFUNCTION("""COMPUTED_VALUE"""),4.0)</f>
        <v>4</v>
      </c>
      <c r="C6" s="131">
        <f>IFERROR(__xludf.DUMMYFUNCTION("""COMPUTED_VALUE"""),666.0)</f>
        <v>666</v>
      </c>
      <c r="D6" s="131" t="str">
        <f>IFERROR(__xludf.DUMMYFUNCTION("""COMPUTED_VALUE"""),"Ritums Jēkabsons")</f>
        <v>Ritums Jēkabsons</v>
      </c>
      <c r="E6" s="131" t="str">
        <f>IFERROR(__xludf.DUMMYFUNCTION("""COMPUTED_VALUE"""),"Latvia")</f>
        <v>Latvia</v>
      </c>
      <c r="F6" s="131" t="str">
        <f>IFERROR(__xludf.DUMMYFUNCTION("""COMPUTED_VALUE"""),"BMW E36")</f>
        <v>BMW E36</v>
      </c>
      <c r="G6" s="133" t="str">
        <f>IFERROR(__xludf.DUMMYFUNCTION("""COMPUTED_VALUE"""),"Drifta halle")</f>
        <v>Drifta halle</v>
      </c>
      <c r="H6" s="133">
        <f>IFERROR(__xludf.DUMMYFUNCTION("""COMPUTED_VALUE"""),24.0)</f>
        <v>24</v>
      </c>
      <c r="I6" s="133">
        <f>IFERROR(__xludf.DUMMYFUNCTION("""COMPUTED_VALUE"""),0.5)</f>
        <v>0.5</v>
      </c>
      <c r="J6" s="133">
        <f>IFERROR(__xludf.DUMMYFUNCTION("""COMPUTED_VALUE"""),108.75)</f>
        <v>108.75</v>
      </c>
      <c r="K6" s="135">
        <f>IFERROR(__xludf.DUMMYFUNCTION("""COMPUTED_VALUE"""),133.25)</f>
        <v>133.25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13"/>
      <c r="B7" s="131">
        <f>IFERROR(__xludf.DUMMYFUNCTION("""COMPUTED_VALUE"""),5.0)</f>
        <v>5</v>
      </c>
      <c r="C7" s="131">
        <f>IFERROR(__xludf.DUMMYFUNCTION("""COMPUTED_VALUE"""),5.0)</f>
        <v>5</v>
      </c>
      <c r="D7" s="131" t="str">
        <f>IFERROR(__xludf.DUMMYFUNCTION("""COMPUTED_VALUE"""),"Kristiāns Austriņš")</f>
        <v>Kristiāns Austriņš</v>
      </c>
      <c r="E7" s="131" t="str">
        <f>IFERROR(__xludf.DUMMYFUNCTION("""COMPUTED_VALUE"""),"Latvia")</f>
        <v>Latvia</v>
      </c>
      <c r="F7" s="131" t="str">
        <f>IFERROR(__xludf.DUMMYFUNCTION("""COMPUTED_VALUE"""),"BMW E36")</f>
        <v>BMW E36</v>
      </c>
      <c r="G7" s="133"/>
      <c r="H7" s="133">
        <f>IFERROR(__xludf.DUMMYFUNCTION("""COMPUTED_VALUE"""),10.0)</f>
        <v>10</v>
      </c>
      <c r="I7" s="133">
        <f>IFERROR(__xludf.DUMMYFUNCTION("""COMPUTED_VALUE"""),0.1)</f>
        <v>0.1</v>
      </c>
      <c r="J7" s="133">
        <f>IFERROR(__xludf.DUMMYFUNCTION("""COMPUTED_VALUE"""),64.35)</f>
        <v>64.35</v>
      </c>
      <c r="K7" s="135">
        <f>IFERROR(__xludf.DUMMYFUNCTION("""COMPUTED_VALUE"""),74.44999999999999)</f>
        <v>74.45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13"/>
      <c r="B8" s="131">
        <f>IFERROR(__xludf.DUMMYFUNCTION("""COMPUTED_VALUE"""),6.0)</f>
        <v>6</v>
      </c>
      <c r="C8" s="131">
        <f>IFERROR(__xludf.DUMMYFUNCTION("""COMPUTED_VALUE"""),469.0)</f>
        <v>469</v>
      </c>
      <c r="D8" s="131" t="str">
        <f>IFERROR(__xludf.DUMMYFUNCTION("""COMPUTED_VALUE"""),"Elgars Bambāns")</f>
        <v>Elgars Bambāns</v>
      </c>
      <c r="E8" s="131" t="str">
        <f>IFERROR(__xludf.DUMMYFUNCTION("""COMPUTED_VALUE"""),"Latvia")</f>
        <v>Latvia</v>
      </c>
      <c r="F8" s="131" t="str">
        <f>IFERROR(__xludf.DUMMYFUNCTION("""COMPUTED_VALUE"""),"BMW E46")</f>
        <v>BMW E46</v>
      </c>
      <c r="G8" s="133" t="str">
        <f>IFERROR(__xludf.DUMMYFUNCTION("""COMPUTED_VALUE"""),"Moist Drift Design")</f>
        <v>Moist Drift Design</v>
      </c>
      <c r="H8" s="133">
        <f>IFERROR(__xludf.DUMMYFUNCTION("""COMPUTED_VALUE"""),10.0)</f>
        <v>10</v>
      </c>
      <c r="I8" s="133">
        <f>IFERROR(__xludf.DUMMYFUNCTION("""COMPUTED_VALUE"""),0.1)</f>
        <v>0.1</v>
      </c>
      <c r="J8" s="133">
        <f>IFERROR(__xludf.DUMMYFUNCTION("""COMPUTED_VALUE"""),34.35)</f>
        <v>34.35</v>
      </c>
      <c r="K8" s="135">
        <f>IFERROR(__xludf.DUMMYFUNCTION("""COMPUTED_VALUE"""),44.45)</f>
        <v>44.45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13"/>
      <c r="B9" s="131">
        <f>IFERROR(__xludf.DUMMYFUNCTION("""COMPUTED_VALUE"""),7.0)</f>
        <v>7</v>
      </c>
      <c r="C9" s="131">
        <f>IFERROR(__xludf.DUMMYFUNCTION("""COMPUTED_VALUE"""),42.0)</f>
        <v>42</v>
      </c>
      <c r="D9" s="131" t="str">
        <f>IFERROR(__xludf.DUMMYFUNCTION("""COMPUTED_VALUE"""),"Kārlis Milužs")</f>
        <v>Kārlis Milužs</v>
      </c>
      <c r="E9" s="131" t="str">
        <f>IFERROR(__xludf.DUMMYFUNCTION("""COMPUTED_VALUE"""),"Latvia")</f>
        <v>Latvia</v>
      </c>
      <c r="F9" s="131" t="str">
        <f>IFERROR(__xludf.DUMMYFUNCTION("""COMPUTED_VALUE"""),"BMW E36")</f>
        <v>BMW E36</v>
      </c>
      <c r="G9" s="133" t="str">
        <f>IFERROR(__xludf.DUMMYFUNCTION("""COMPUTED_VALUE"""),"Drifta Halle")</f>
        <v>Drifta Halle</v>
      </c>
      <c r="H9" s="133" t="str">
        <f>IFERROR(__xludf.DUMMYFUNCTION("""COMPUTED_VALUE"""),"")</f>
        <v/>
      </c>
      <c r="I9" s="133" t="str">
        <f>IFERROR(__xludf.DUMMYFUNCTION("""COMPUTED_VALUE"""),"")</f>
        <v/>
      </c>
      <c r="J9" s="133">
        <f>IFERROR(__xludf.DUMMYFUNCTION("""COMPUTED_VALUE"""),34.35)</f>
        <v>34.35</v>
      </c>
      <c r="K9" s="135">
        <f>IFERROR(__xludf.DUMMYFUNCTION("""COMPUTED_VALUE"""),34.35)</f>
        <v>34.35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13"/>
      <c r="B10" s="131">
        <f>IFERROR(__xludf.DUMMYFUNCTION("""COMPUTED_VALUE"""),8.0)</f>
        <v>8</v>
      </c>
      <c r="C10" s="131">
        <f>IFERROR(__xludf.DUMMYFUNCTION("""COMPUTED_VALUE"""),24.0)</f>
        <v>24</v>
      </c>
      <c r="D10" s="131" t="str">
        <f>IFERROR(__xludf.DUMMYFUNCTION("""COMPUTED_VALUE"""),"Dāvis Rastoks")</f>
        <v>Dāvis Rastoks</v>
      </c>
      <c r="E10" s="131" t="str">
        <f>IFERROR(__xludf.DUMMYFUNCTION("""COMPUTED_VALUE"""),"Latvia")</f>
        <v>Latvia</v>
      </c>
      <c r="F10" s="131" t="str">
        <f>IFERROR(__xludf.DUMMYFUNCTION("""COMPUTED_VALUE"""),"BMW E36")</f>
        <v>BMW E36</v>
      </c>
      <c r="G10" s="133"/>
      <c r="H10" s="133">
        <f>IFERROR(__xludf.DUMMYFUNCTION("""COMPUTED_VALUE"""),10.0)</f>
        <v>10</v>
      </c>
      <c r="I10" s="133">
        <f>IFERROR(__xludf.DUMMYFUNCTION("""COMPUTED_VALUE"""),0.1)</f>
        <v>0.1</v>
      </c>
      <c r="J10" s="133">
        <f>IFERROR(__xludf.DUMMYFUNCTION("""COMPUTED_VALUE"""),20.2)</f>
        <v>20.2</v>
      </c>
      <c r="K10" s="135">
        <f>IFERROR(__xludf.DUMMYFUNCTION("""COMPUTED_VALUE"""),30.299999999999997)</f>
        <v>30.3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13"/>
      <c r="B11" s="131">
        <f>IFERROR(__xludf.DUMMYFUNCTION("""COMPUTED_VALUE"""),9.0)</f>
        <v>9</v>
      </c>
      <c r="C11" s="131">
        <f>IFERROR(__xludf.DUMMYFUNCTION("""COMPUTED_VALUE"""),8.0)</f>
        <v>8</v>
      </c>
      <c r="D11" s="131" t="str">
        <f>IFERROR(__xludf.DUMMYFUNCTION("""COMPUTED_VALUE"""),"Gundars Gūte")</f>
        <v>Gundars Gūte</v>
      </c>
      <c r="E11" s="131" t="str">
        <f>IFERROR(__xludf.DUMMYFUNCTION("""COMPUTED_VALUE"""),"Latvia")</f>
        <v>Latvia</v>
      </c>
      <c r="F11" s="131" t="str">
        <f>IFERROR(__xludf.DUMMYFUNCTION("""COMPUTED_VALUE"""),"BMW E46")</f>
        <v>BMW E46</v>
      </c>
      <c r="G11" s="133"/>
      <c r="H11" s="133">
        <f>IFERROR(__xludf.DUMMYFUNCTION("""COMPUTED_VALUE"""),10.0)</f>
        <v>10</v>
      </c>
      <c r="I11" s="133">
        <f>IFERROR(__xludf.DUMMYFUNCTION("""COMPUTED_VALUE"""),0.1)</f>
        <v>0.1</v>
      </c>
      <c r="J11" s="133">
        <f>IFERROR(__xludf.DUMMYFUNCTION("""COMPUTED_VALUE"""),20.2)</f>
        <v>20.2</v>
      </c>
      <c r="K11" s="135">
        <f>IFERROR(__xludf.DUMMYFUNCTION("""COMPUTED_VALUE"""),30.299999999999997)</f>
        <v>30.3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13"/>
      <c r="B12" s="131">
        <f>IFERROR(__xludf.DUMMYFUNCTION("""COMPUTED_VALUE"""),10.0)</f>
        <v>10</v>
      </c>
      <c r="C12" s="131">
        <f>IFERROR(__xludf.DUMMYFUNCTION("""COMPUTED_VALUE"""),369.0)</f>
        <v>369</v>
      </c>
      <c r="D12" s="131" t="str">
        <f>IFERROR(__xludf.DUMMYFUNCTION("""COMPUTED_VALUE"""),"Aivis Bambāns")</f>
        <v>Aivis Bambāns</v>
      </c>
      <c r="E12" s="131" t="str">
        <f>IFERROR(__xludf.DUMMYFUNCTION("""COMPUTED_VALUE"""),"Latvia")</f>
        <v>Latvia</v>
      </c>
      <c r="F12" s="131" t="str">
        <f>IFERROR(__xludf.DUMMYFUNCTION("""COMPUTED_VALUE"""),"BMW E46")</f>
        <v>BMW E46</v>
      </c>
      <c r="G12" s="133" t="str">
        <f>IFERROR(__xludf.DUMMYFUNCTION("""COMPUTED_VALUE"""),"Moist Drift Design")</f>
        <v>Moist Drift Design</v>
      </c>
      <c r="H12" s="133">
        <f>IFERROR(__xludf.DUMMYFUNCTION("""COMPUTED_VALUE"""),10.0)</f>
        <v>10</v>
      </c>
      <c r="I12" s="133">
        <f>IFERROR(__xludf.DUMMYFUNCTION("""COMPUTED_VALUE"""),0.1)</f>
        <v>0.1</v>
      </c>
      <c r="J12" s="133">
        <f>IFERROR(__xludf.DUMMYFUNCTION("""COMPUTED_VALUE"""),20.2)</f>
        <v>20.2</v>
      </c>
      <c r="K12" s="135">
        <f>IFERROR(__xludf.DUMMYFUNCTION("""COMPUTED_VALUE"""),30.299999999999997)</f>
        <v>30.3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13"/>
      <c r="B13" s="131">
        <f>IFERROR(__xludf.DUMMYFUNCTION("""COMPUTED_VALUE"""),11.0)</f>
        <v>11</v>
      </c>
      <c r="C13" s="131">
        <f>IFERROR(__xludf.DUMMYFUNCTION("""COMPUTED_VALUE"""),420.0)</f>
        <v>420</v>
      </c>
      <c r="D13" s="131" t="str">
        <f>IFERROR(__xludf.DUMMYFUNCTION("""COMPUTED_VALUE"""),"Eduards Rēdmanis")</f>
        <v>Eduards Rēdmanis</v>
      </c>
      <c r="E13" s="131" t="str">
        <f>IFERROR(__xludf.DUMMYFUNCTION("""COMPUTED_VALUE"""),"Latvia")</f>
        <v>Latvia</v>
      </c>
      <c r="F13" s="131" t="str">
        <f>IFERROR(__xludf.DUMMYFUNCTION("""COMPUTED_VALUE"""),"BMW E46")</f>
        <v>BMW E46</v>
      </c>
      <c r="G13" s="133" t="str">
        <f>IFERROR(__xludf.DUMMYFUNCTION("""COMPUTED_VALUE"""),"RTRiga")</f>
        <v>RTRiga</v>
      </c>
      <c r="H13" s="133">
        <f>IFERROR(__xludf.DUMMYFUNCTION("""COMPUTED_VALUE"""),10.0)</f>
        <v>10</v>
      </c>
      <c r="I13" s="133">
        <f>IFERROR(__xludf.DUMMYFUNCTION("""COMPUTED_VALUE"""),0.1)</f>
        <v>0.1</v>
      </c>
      <c r="J13" s="133">
        <f>IFERROR(__xludf.DUMMYFUNCTION("""COMPUTED_VALUE"""),10.1)</f>
        <v>10.1</v>
      </c>
      <c r="K13" s="135">
        <f>IFERROR(__xludf.DUMMYFUNCTION("""COMPUTED_VALUE"""),20.2)</f>
        <v>20.2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13"/>
      <c r="B14" s="131">
        <f>IFERROR(__xludf.DUMMYFUNCTION("""COMPUTED_VALUE"""),12.0)</f>
        <v>12</v>
      </c>
      <c r="C14" s="131">
        <f>IFERROR(__xludf.DUMMYFUNCTION("""COMPUTED_VALUE"""),23.0)</f>
        <v>23</v>
      </c>
      <c r="D14" s="131" t="str">
        <f>IFERROR(__xludf.DUMMYFUNCTION("""COMPUTED_VALUE"""),"Harijs Labarevičs")</f>
        <v>Harijs Labarevičs</v>
      </c>
      <c r="E14" s="131" t="str">
        <f>IFERROR(__xludf.DUMMYFUNCTION("""COMPUTED_VALUE"""),"Latvia")</f>
        <v>Latvia</v>
      </c>
      <c r="F14" s="131" t="str">
        <f>IFERROR(__xludf.DUMMYFUNCTION("""COMPUTED_VALUE"""),"BMW E36")</f>
        <v>BMW E36</v>
      </c>
      <c r="G14" s="133" t="str">
        <f>IFERROR(__xludf.DUMMYFUNCTION("""COMPUTED_VALUE"""),"Drifta halle")</f>
        <v>Drifta halle</v>
      </c>
      <c r="H14" s="133" t="str">
        <f>IFERROR(__xludf.DUMMYFUNCTION("""COMPUTED_VALUE"""),"")</f>
        <v/>
      </c>
      <c r="I14" s="133" t="str">
        <f>IFERROR(__xludf.DUMMYFUNCTION("""COMPUTED_VALUE"""),"")</f>
        <v/>
      </c>
      <c r="J14" s="133">
        <f>IFERROR(__xludf.DUMMYFUNCTION("""COMPUTED_VALUE"""),20.2)</f>
        <v>20.2</v>
      </c>
      <c r="K14" s="135">
        <f>IFERROR(__xludf.DUMMYFUNCTION("""COMPUTED_VALUE"""),20.2)</f>
        <v>20.2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13"/>
      <c r="B15" s="131">
        <f>IFERROR(__xludf.DUMMYFUNCTION("""COMPUTED_VALUE"""),13.0)</f>
        <v>13</v>
      </c>
      <c r="C15" s="131">
        <f>IFERROR(__xludf.DUMMYFUNCTION("""COMPUTED_VALUE"""),215.0)</f>
        <v>215</v>
      </c>
      <c r="D15" s="131" t="str">
        <f>IFERROR(__xludf.DUMMYFUNCTION("""COMPUTED_VALUE"""),"Nauris Žmuida")</f>
        <v>Nauris Žmuida</v>
      </c>
      <c r="E15" s="131" t="str">
        <f>IFERROR(__xludf.DUMMYFUNCTION("""COMPUTED_VALUE"""),"Latvia")</f>
        <v>Latvia</v>
      </c>
      <c r="F15" s="131" t="str">
        <f>IFERROR(__xludf.DUMMYFUNCTION("""COMPUTED_VALUE"""),"BMW E46")</f>
        <v>BMW E46</v>
      </c>
      <c r="G15" s="133" t="str">
        <f>IFERROR(__xludf.DUMMYFUNCTION("""COMPUTED_VALUE"""),"Līkumslīdis")</f>
        <v>Līkumslīdis</v>
      </c>
      <c r="H15" s="133" t="str">
        <f>IFERROR(__xludf.DUMMYFUNCTION("""COMPUTED_VALUE"""),"")</f>
        <v/>
      </c>
      <c r="I15" s="133" t="str">
        <f>IFERROR(__xludf.DUMMYFUNCTION("""COMPUTED_VALUE"""),"")</f>
        <v/>
      </c>
      <c r="J15" s="133">
        <f>IFERROR(__xludf.DUMMYFUNCTION("""COMPUTED_VALUE"""),10.1)</f>
        <v>10.1</v>
      </c>
      <c r="K15" s="135">
        <f>IFERROR(__xludf.DUMMYFUNCTION("""COMPUTED_VALUE"""),10.1)</f>
        <v>10.1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13"/>
      <c r="B16" s="131">
        <f>IFERROR(__xludf.DUMMYFUNCTION("""COMPUTED_VALUE"""),14.0)</f>
        <v>14</v>
      </c>
      <c r="C16" s="131">
        <f>IFERROR(__xludf.DUMMYFUNCTION("""COMPUTED_VALUE"""),91.0)</f>
        <v>91</v>
      </c>
      <c r="D16" s="131" t="str">
        <f>IFERROR(__xludf.DUMMYFUNCTION("""COMPUTED_VALUE"""),"Daniels Tomass Bērziņš")</f>
        <v>Daniels Tomass Bērziņš</v>
      </c>
      <c r="E16" s="131" t="str">
        <f>IFERROR(__xludf.DUMMYFUNCTION("""COMPUTED_VALUE"""),"Latvia")</f>
        <v>Latvia</v>
      </c>
      <c r="F16" s="131" t="str">
        <f>IFERROR(__xludf.DUMMYFUNCTION("""COMPUTED_VALUE"""),"BMW E46")</f>
        <v>BMW E46</v>
      </c>
      <c r="G16" s="133"/>
      <c r="H16" s="133" t="str">
        <f>IFERROR(__xludf.DUMMYFUNCTION("""COMPUTED_VALUE"""),"")</f>
        <v/>
      </c>
      <c r="I16" s="133" t="str">
        <f>IFERROR(__xludf.DUMMYFUNCTION("""COMPUTED_VALUE"""),"")</f>
        <v/>
      </c>
      <c r="J16" s="133">
        <f>IFERROR(__xludf.DUMMYFUNCTION("""COMPUTED_VALUE"""),10.1)</f>
        <v>10.1</v>
      </c>
      <c r="K16" s="135">
        <f>IFERROR(__xludf.DUMMYFUNCTION("""COMPUTED_VALUE"""),10.1)</f>
        <v>10.1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13"/>
      <c r="B17" s="131">
        <f>IFERROR(__xludf.DUMMYFUNCTION("""COMPUTED_VALUE"""),15.0)</f>
        <v>15</v>
      </c>
      <c r="C17" s="131">
        <f>IFERROR(__xludf.DUMMYFUNCTION("""COMPUTED_VALUE"""),201.0)</f>
        <v>201</v>
      </c>
      <c r="D17" s="131" t="str">
        <f>IFERROR(__xludf.DUMMYFUNCTION("""COMPUTED_VALUE"""),"Nauris Kokins")</f>
        <v>Nauris Kokins</v>
      </c>
      <c r="E17" s="131" t="str">
        <f>IFERROR(__xludf.DUMMYFUNCTION("""COMPUTED_VALUE"""),"Latvia")</f>
        <v>Latvia</v>
      </c>
      <c r="F17" s="131" t="str">
        <f>IFERROR(__xludf.DUMMYFUNCTION("""COMPUTED_VALUE"""),"BMW E46")</f>
        <v>BMW E46</v>
      </c>
      <c r="G17" s="133" t="str">
        <f>IFERROR(__xludf.DUMMYFUNCTION("""COMPUTED_VALUE"""),"AMS")</f>
        <v>AMS</v>
      </c>
      <c r="H17" s="133" t="str">
        <f>IFERROR(__xludf.DUMMYFUNCTION("""COMPUTED_VALUE"""),"")</f>
        <v/>
      </c>
      <c r="I17" s="133" t="str">
        <f>IFERROR(__xludf.DUMMYFUNCTION("""COMPUTED_VALUE"""),"")</f>
        <v/>
      </c>
      <c r="J17" s="133">
        <f>IFERROR(__xludf.DUMMYFUNCTION("""COMPUTED_VALUE"""),10.1)</f>
        <v>10.1</v>
      </c>
      <c r="K17" s="135">
        <f>IFERROR(__xludf.DUMMYFUNCTION("""COMPUTED_VALUE"""),10.1)</f>
        <v>10.1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13"/>
      <c r="B18" s="131">
        <f>IFERROR(__xludf.DUMMYFUNCTION("""COMPUTED_VALUE"""),16.0)</f>
        <v>16</v>
      </c>
      <c r="C18" s="131">
        <f>IFERROR(__xludf.DUMMYFUNCTION("""COMPUTED_VALUE"""),101.0)</f>
        <v>101</v>
      </c>
      <c r="D18" s="131" t="str">
        <f>IFERROR(__xludf.DUMMYFUNCTION("""COMPUTED_VALUE"""),"Danils Dolganovs")</f>
        <v>Danils Dolganovs</v>
      </c>
      <c r="E18" s="131" t="str">
        <f>IFERROR(__xludf.DUMMYFUNCTION("""COMPUTED_VALUE"""),"Latvia")</f>
        <v>Latvia</v>
      </c>
      <c r="F18" s="131" t="str">
        <f>IFERROR(__xludf.DUMMYFUNCTION("""COMPUTED_VALUE"""),"BMW E36")</f>
        <v>BMW E36</v>
      </c>
      <c r="G18" s="133"/>
      <c r="H18" s="133" t="str">
        <f>IFERROR(__xludf.DUMMYFUNCTION("""COMPUTED_VALUE"""),"")</f>
        <v/>
      </c>
      <c r="I18" s="133" t="str">
        <f>IFERROR(__xludf.DUMMYFUNCTION("""COMPUTED_VALUE"""),"")</f>
        <v/>
      </c>
      <c r="J18" s="133" t="str">
        <f>IFERROR(__xludf.DUMMYFUNCTION("""COMPUTED_VALUE"""),"")</f>
        <v/>
      </c>
      <c r="K18" s="135">
        <f>IFERROR(__xludf.DUMMYFUNCTION("""COMPUTED_VALUE"""),0.0)</f>
        <v>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>
      <c r="A19" s="13"/>
      <c r="B19" s="131" t="str">
        <f>IFERROR(__xludf.DUMMYFUNCTION("""COMPUTED_VALUE"""),"")</f>
        <v/>
      </c>
      <c r="C19" s="131"/>
      <c r="D19" s="131"/>
      <c r="E19" s="131"/>
      <c r="F19" s="131"/>
      <c r="G19" s="133"/>
      <c r="H19" s="133"/>
      <c r="I19" s="133"/>
      <c r="J19" s="133"/>
      <c r="K19" s="13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>
      <c r="A20" s="13"/>
      <c r="B20" s="131" t="str">
        <f>IFERROR(__xludf.DUMMYFUNCTION("""COMPUTED_VALUE"""),"")</f>
        <v/>
      </c>
      <c r="C20" s="131"/>
      <c r="D20" s="131"/>
      <c r="E20" s="131"/>
      <c r="F20" s="131"/>
      <c r="G20" s="133"/>
      <c r="H20" s="133"/>
      <c r="I20" s="133"/>
      <c r="J20" s="133"/>
      <c r="K20" s="13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>
      <c r="A21" s="13"/>
      <c r="B21" s="131" t="str">
        <f>IFERROR(__xludf.DUMMYFUNCTION("""COMPUTED_VALUE"""),"")</f>
        <v/>
      </c>
      <c r="C21" s="131"/>
      <c r="D21" s="131"/>
      <c r="E21" s="131"/>
      <c r="F21" s="131"/>
      <c r="G21" s="133"/>
      <c r="H21" s="133"/>
      <c r="I21" s="133"/>
      <c r="J21" s="133"/>
      <c r="K21" s="13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>
      <c r="A22" s="13"/>
      <c r="B22" s="131" t="str">
        <f>IFERROR(__xludf.DUMMYFUNCTION("""COMPUTED_VALUE"""),"")</f>
        <v/>
      </c>
      <c r="C22" s="131"/>
      <c r="D22" s="131"/>
      <c r="E22" s="131"/>
      <c r="F22" s="131"/>
      <c r="G22" s="133"/>
      <c r="H22" s="133"/>
      <c r="I22" s="133"/>
      <c r="J22" s="133"/>
      <c r="K22" s="13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>
      <c r="A23" s="13"/>
      <c r="B23" s="131" t="str">
        <f>IFERROR(__xludf.DUMMYFUNCTION("""COMPUTED_VALUE"""),"")</f>
        <v/>
      </c>
      <c r="C23" s="131"/>
      <c r="D23" s="131"/>
      <c r="E23" s="131"/>
      <c r="F23" s="131"/>
      <c r="G23" s="133"/>
      <c r="H23" s="133"/>
      <c r="I23" s="133"/>
      <c r="J23" s="133"/>
      <c r="K23" s="13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>
      <c r="A24" s="13"/>
      <c r="B24" s="131" t="str">
        <f>IFERROR(__xludf.DUMMYFUNCTION("""COMPUTED_VALUE"""),"")</f>
        <v/>
      </c>
      <c r="C24" s="131"/>
      <c r="D24" s="131"/>
      <c r="E24" s="131"/>
      <c r="F24" s="131"/>
      <c r="G24" s="133"/>
      <c r="H24" s="133"/>
      <c r="I24" s="133"/>
      <c r="J24" s="133"/>
      <c r="K24" s="13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>
      <c r="A25" s="13"/>
      <c r="B25" s="131" t="str">
        <f>IFERROR(__xludf.DUMMYFUNCTION("""COMPUTED_VALUE"""),"")</f>
        <v/>
      </c>
      <c r="C25" s="131"/>
      <c r="D25" s="131"/>
      <c r="E25" s="131"/>
      <c r="F25" s="131"/>
      <c r="G25" s="133"/>
      <c r="H25" s="133"/>
      <c r="I25" s="133"/>
      <c r="J25" s="133"/>
      <c r="K25" s="13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>
      <c r="A26" s="13"/>
      <c r="B26" s="131" t="str">
        <f>IFERROR(__xludf.DUMMYFUNCTION("""COMPUTED_VALUE"""),"")</f>
        <v/>
      </c>
      <c r="C26" s="131"/>
      <c r="D26" s="131"/>
      <c r="E26" s="131"/>
      <c r="F26" s="131"/>
      <c r="G26" s="133"/>
      <c r="H26" s="133"/>
      <c r="I26" s="133"/>
      <c r="J26" s="133"/>
      <c r="K26" s="13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>
      <c r="A27" s="13"/>
      <c r="B27" s="131" t="str">
        <f>IFERROR(__xludf.DUMMYFUNCTION("""COMPUTED_VALUE"""),"")</f>
        <v/>
      </c>
      <c r="C27" s="131"/>
      <c r="D27" s="131"/>
      <c r="E27" s="131"/>
      <c r="F27" s="131"/>
      <c r="G27" s="133"/>
      <c r="H27" s="133"/>
      <c r="I27" s="133"/>
      <c r="J27" s="133"/>
      <c r="K27" s="137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>
      <c r="A28" s="13"/>
      <c r="B28" s="131" t="str">
        <f>IFERROR(__xludf.DUMMYFUNCTION("""COMPUTED_VALUE"""),"")</f>
        <v/>
      </c>
      <c r="C28" s="131"/>
      <c r="D28" s="131"/>
      <c r="E28" s="131"/>
      <c r="F28" s="131"/>
      <c r="G28" s="133"/>
      <c r="H28" s="133"/>
      <c r="I28" s="133"/>
      <c r="J28" s="133"/>
      <c r="K28" s="13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>
      <c r="A29" s="13"/>
      <c r="B29" s="131" t="str">
        <f>IFERROR(__xludf.DUMMYFUNCTION("""COMPUTED_VALUE"""),"")</f>
        <v/>
      </c>
      <c r="C29" s="131"/>
      <c r="D29" s="131"/>
      <c r="E29" s="131"/>
      <c r="F29" s="131"/>
      <c r="G29" s="133"/>
      <c r="H29" s="133"/>
      <c r="I29" s="133"/>
      <c r="J29" s="133"/>
      <c r="K29" s="13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>
      <c r="A30" s="13"/>
      <c r="B30" s="131" t="str">
        <f>IFERROR(__xludf.DUMMYFUNCTION("""COMPUTED_VALUE"""),"")</f>
        <v/>
      </c>
      <c r="C30" s="131"/>
      <c r="D30" s="131"/>
      <c r="E30" s="131"/>
      <c r="F30" s="131"/>
      <c r="G30" s="133"/>
      <c r="H30" s="133"/>
      <c r="I30" s="133"/>
      <c r="J30" s="133"/>
      <c r="K30" s="13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>
      <c r="A31" s="13"/>
      <c r="B31" s="131" t="str">
        <f>IFERROR(__xludf.DUMMYFUNCTION("""COMPUTED_VALUE"""),"")</f>
        <v/>
      </c>
      <c r="C31" s="131"/>
      <c r="D31" s="131"/>
      <c r="E31" s="131"/>
      <c r="F31" s="131"/>
      <c r="G31" s="133"/>
      <c r="H31" s="133"/>
      <c r="I31" s="133"/>
      <c r="J31" s="133"/>
      <c r="K31" s="13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>
      <c r="A32" s="13"/>
      <c r="B32" s="131" t="str">
        <f>IFERROR(__xludf.DUMMYFUNCTION("""COMPUTED_VALUE"""),"")</f>
        <v/>
      </c>
      <c r="C32" s="131"/>
      <c r="D32" s="131"/>
      <c r="E32" s="131"/>
      <c r="F32" s="131"/>
      <c r="G32" s="133"/>
      <c r="H32" s="132"/>
      <c r="I32" s="133"/>
      <c r="J32" s="133"/>
      <c r="K32" s="13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>
      <c r="A33" s="13"/>
      <c r="B33" s="131" t="str">
        <f>IFERROR(__xludf.DUMMYFUNCTION("""COMPUTED_VALUE"""),"")</f>
        <v/>
      </c>
      <c r="C33" s="131"/>
      <c r="D33" s="131"/>
      <c r="E33" s="131"/>
      <c r="F33" s="131"/>
      <c r="G33" s="133"/>
      <c r="H33" s="132"/>
      <c r="I33" s="133"/>
      <c r="J33" s="133"/>
      <c r="K33" s="13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>
      <c r="A34" s="13"/>
      <c r="B34" s="131" t="str">
        <f>IFERROR(__xludf.DUMMYFUNCTION("""COMPUTED_VALUE"""),"")</f>
        <v/>
      </c>
      <c r="C34" s="131"/>
      <c r="D34" s="131"/>
      <c r="E34" s="131"/>
      <c r="F34" s="131"/>
      <c r="G34" s="133"/>
      <c r="H34" s="132"/>
      <c r="I34" s="133"/>
      <c r="J34" s="133"/>
      <c r="K34" s="13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>
      <c r="A35" s="13"/>
      <c r="B35" s="131" t="str">
        <f>IFERROR(__xludf.DUMMYFUNCTION("""COMPUTED_VALUE"""),"")</f>
        <v/>
      </c>
      <c r="C35" s="131"/>
      <c r="D35" s="131"/>
      <c r="E35" s="131"/>
      <c r="F35" s="131"/>
      <c r="G35" s="133"/>
      <c r="H35" s="132"/>
      <c r="I35" s="133"/>
      <c r="J35" s="133"/>
      <c r="K35" s="13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>
      <c r="A36" s="13"/>
      <c r="B36" s="131" t="str">
        <f>IFERROR(__xludf.DUMMYFUNCTION("""COMPUTED_VALUE"""),"")</f>
        <v/>
      </c>
      <c r="C36" s="131"/>
      <c r="D36" s="131"/>
      <c r="E36" s="131"/>
      <c r="F36" s="131"/>
      <c r="G36" s="133"/>
      <c r="H36" s="132"/>
      <c r="I36" s="133"/>
      <c r="J36" s="133"/>
      <c r="K36" s="13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>
      <c r="A37" s="13"/>
      <c r="B37" s="131" t="str">
        <f>IFERROR(__xludf.DUMMYFUNCTION("""COMPUTED_VALUE"""),"")</f>
        <v/>
      </c>
      <c r="C37" s="131"/>
      <c r="D37" s="131"/>
      <c r="E37" s="131"/>
      <c r="F37" s="131"/>
      <c r="G37" s="133"/>
      <c r="H37" s="132"/>
      <c r="I37" s="133"/>
      <c r="J37" s="133"/>
      <c r="K37" s="13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13"/>
      <c r="B38" s="131" t="str">
        <f>IFERROR(__xludf.DUMMYFUNCTION("""COMPUTED_VALUE"""),"")</f>
        <v/>
      </c>
      <c r="C38" s="131"/>
      <c r="D38" s="131"/>
      <c r="E38" s="131"/>
      <c r="F38" s="131"/>
      <c r="G38" s="133"/>
      <c r="H38" s="132"/>
      <c r="I38" s="133"/>
      <c r="J38" s="133"/>
      <c r="K38" s="13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>
      <c r="A39" s="13"/>
      <c r="B39" s="131" t="str">
        <f>IFERROR(__xludf.DUMMYFUNCTION("""COMPUTED_VALUE"""),"")</f>
        <v/>
      </c>
      <c r="C39" s="131"/>
      <c r="D39" s="131"/>
      <c r="E39" s="131"/>
      <c r="F39" s="131"/>
      <c r="G39" s="133"/>
      <c r="H39" s="132"/>
      <c r="I39" s="133"/>
      <c r="J39" s="133"/>
      <c r="K39" s="13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>
      <c r="A40" s="13"/>
      <c r="B40" s="131" t="str">
        <f>IFERROR(__xludf.DUMMYFUNCTION("""COMPUTED_VALUE"""),"")</f>
        <v/>
      </c>
      <c r="C40" s="131"/>
      <c r="D40" s="131"/>
      <c r="E40" s="131"/>
      <c r="F40" s="131"/>
      <c r="G40" s="133"/>
      <c r="H40" s="132"/>
      <c r="I40" s="133"/>
      <c r="J40" s="133"/>
      <c r="K40" s="13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>
      <c r="A41" s="13"/>
      <c r="B41" s="131" t="str">
        <f>IFERROR(__xludf.DUMMYFUNCTION("""COMPUTED_VALUE"""),"")</f>
        <v/>
      </c>
      <c r="C41" s="131"/>
      <c r="D41" s="131"/>
      <c r="E41" s="131"/>
      <c r="F41" s="131"/>
      <c r="G41" s="133"/>
      <c r="H41" s="132"/>
      <c r="I41" s="133"/>
      <c r="J41" s="133"/>
      <c r="K41" s="13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>
      <c r="A42" s="13"/>
      <c r="B42" s="131" t="str">
        <f>IFERROR(__xludf.DUMMYFUNCTION("""COMPUTED_VALUE"""),"")</f>
        <v/>
      </c>
      <c r="C42" s="131"/>
      <c r="D42" s="131"/>
      <c r="E42" s="131"/>
      <c r="F42" s="131"/>
      <c r="G42" s="133"/>
      <c r="H42" s="132"/>
      <c r="I42" s="133"/>
      <c r="J42" s="133"/>
      <c r="K42" s="13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>
      <c r="A43" s="13"/>
      <c r="B43" s="131" t="str">
        <f>IFERROR(__xludf.DUMMYFUNCTION("""COMPUTED_VALUE"""),"")</f>
        <v/>
      </c>
      <c r="C43" s="131"/>
      <c r="D43" s="131"/>
      <c r="E43" s="131"/>
      <c r="F43" s="131"/>
      <c r="G43" s="133"/>
      <c r="H43" s="132"/>
      <c r="I43" s="133"/>
      <c r="J43" s="133"/>
      <c r="K43" s="13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>
      <c r="A44" s="13"/>
      <c r="B44" s="131" t="str">
        <f>IFERROR(__xludf.DUMMYFUNCTION("""COMPUTED_VALUE"""),"")</f>
        <v/>
      </c>
      <c r="C44" s="131"/>
      <c r="D44" s="131"/>
      <c r="E44" s="131"/>
      <c r="F44" s="131"/>
      <c r="G44" s="133"/>
      <c r="H44" s="132"/>
      <c r="I44" s="133"/>
      <c r="J44" s="133"/>
      <c r="K44" s="13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13"/>
      <c r="B45" s="131" t="str">
        <f>IFERROR(__xludf.DUMMYFUNCTION("""COMPUTED_VALUE"""),"")</f>
        <v/>
      </c>
      <c r="C45" s="131"/>
      <c r="D45" s="131"/>
      <c r="E45" s="131"/>
      <c r="F45" s="131"/>
      <c r="G45" s="133"/>
      <c r="H45" s="132"/>
      <c r="I45" s="133"/>
      <c r="J45" s="133"/>
      <c r="K45" s="13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13"/>
      <c r="B46" s="131" t="str">
        <f>IFERROR(__xludf.DUMMYFUNCTION("""COMPUTED_VALUE"""),"")</f>
        <v/>
      </c>
      <c r="C46" s="131"/>
      <c r="D46" s="131"/>
      <c r="E46" s="131"/>
      <c r="F46" s="131"/>
      <c r="G46" s="133"/>
      <c r="H46" s="132"/>
      <c r="I46" s="133"/>
      <c r="J46" s="133"/>
      <c r="K46" s="13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>
      <c r="A47" s="13"/>
      <c r="B47" s="131" t="str">
        <f>IFERROR(__xludf.DUMMYFUNCTION("""COMPUTED_VALUE"""),"")</f>
        <v/>
      </c>
      <c r="C47" s="131"/>
      <c r="D47" s="131"/>
      <c r="E47" s="131"/>
      <c r="F47" s="131"/>
      <c r="G47" s="133"/>
      <c r="H47" s="132"/>
      <c r="I47" s="133"/>
      <c r="J47" s="133"/>
      <c r="K47" s="13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>
      <c r="A48" s="13"/>
      <c r="B48" s="131" t="str">
        <f>IFERROR(__xludf.DUMMYFUNCTION("""COMPUTED_VALUE"""),"")</f>
        <v/>
      </c>
      <c r="C48" s="131"/>
      <c r="D48" s="131"/>
      <c r="E48" s="131"/>
      <c r="F48" s="131"/>
      <c r="G48" s="133"/>
      <c r="H48" s="132"/>
      <c r="I48" s="133"/>
      <c r="J48" s="133"/>
      <c r="K48" s="13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>
      <c r="A49" s="13"/>
      <c r="B49" s="131" t="str">
        <f>IFERROR(__xludf.DUMMYFUNCTION("""COMPUTED_VALUE"""),"")</f>
        <v/>
      </c>
      <c r="C49" s="131"/>
      <c r="D49" s="131"/>
      <c r="E49" s="131"/>
      <c r="F49" s="131"/>
      <c r="G49" s="133"/>
      <c r="H49" s="132"/>
      <c r="I49" s="133"/>
      <c r="J49" s="133"/>
      <c r="K49" s="137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>
      <c r="A50" s="13"/>
      <c r="B50" s="131" t="str">
        <f>IFERROR(__xludf.DUMMYFUNCTION("""COMPUTED_VALUE"""),"")</f>
        <v/>
      </c>
      <c r="C50" s="131"/>
      <c r="D50" s="131"/>
      <c r="E50" s="131"/>
      <c r="F50" s="131"/>
      <c r="G50" s="133"/>
      <c r="H50" s="132"/>
      <c r="I50" s="133"/>
      <c r="J50" s="133"/>
      <c r="K50" s="137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>
      <c r="A51" s="13"/>
      <c r="B51" s="131" t="str">
        <f>IFERROR(__xludf.DUMMYFUNCTION("""COMPUTED_VALUE"""),"")</f>
        <v/>
      </c>
      <c r="C51" s="131"/>
      <c r="D51" s="131"/>
      <c r="E51" s="131"/>
      <c r="F51" s="131"/>
      <c r="G51" s="133"/>
      <c r="H51" s="132"/>
      <c r="I51" s="133"/>
      <c r="J51" s="133"/>
      <c r="K51" s="137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>
      <c r="A52" s="13"/>
      <c r="B52" s="131" t="str">
        <f>IFERROR(__xludf.DUMMYFUNCTION("""COMPUTED_VALUE"""),"")</f>
        <v/>
      </c>
      <c r="C52" s="131"/>
      <c r="D52" s="131"/>
      <c r="E52" s="131"/>
      <c r="F52" s="131"/>
      <c r="G52" s="133"/>
      <c r="H52" s="132"/>
      <c r="I52" s="133"/>
      <c r="J52" s="133"/>
      <c r="K52" s="137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>
      <c r="A53" s="13"/>
      <c r="B53" s="131" t="str">
        <f>IFERROR(__xludf.DUMMYFUNCTION("""COMPUTED_VALUE"""),"")</f>
        <v/>
      </c>
      <c r="C53" s="131"/>
      <c r="D53" s="131"/>
      <c r="E53" s="131"/>
      <c r="F53" s="131"/>
      <c r="G53" s="133"/>
      <c r="H53" s="132"/>
      <c r="I53" s="133"/>
      <c r="J53" s="133"/>
      <c r="K53" s="137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>
      <c r="A54" s="13"/>
      <c r="B54" s="131" t="str">
        <f>IFERROR(__xludf.DUMMYFUNCTION("""COMPUTED_VALUE"""),"")</f>
        <v/>
      </c>
      <c r="C54" s="131"/>
      <c r="D54" s="131"/>
      <c r="E54" s="131"/>
      <c r="F54" s="131"/>
      <c r="G54" s="133"/>
      <c r="H54" s="132"/>
      <c r="I54" s="133"/>
      <c r="J54" s="133"/>
      <c r="K54" s="137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>
      <c r="A55" s="13"/>
      <c r="B55" s="131" t="str">
        <f>IFERROR(__xludf.DUMMYFUNCTION("""COMPUTED_VALUE"""),"")</f>
        <v/>
      </c>
      <c r="C55" s="131"/>
      <c r="D55" s="131"/>
      <c r="E55" s="131"/>
      <c r="F55" s="131"/>
      <c r="G55" s="133"/>
      <c r="H55" s="132"/>
      <c r="I55" s="133"/>
      <c r="J55" s="133"/>
      <c r="K55" s="137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>
      <c r="A56" s="13"/>
      <c r="B56" s="131" t="str">
        <f>IFERROR(__xludf.DUMMYFUNCTION("""COMPUTED_VALUE"""),"")</f>
        <v/>
      </c>
      <c r="C56" s="131"/>
      <c r="D56" s="131"/>
      <c r="E56" s="131"/>
      <c r="F56" s="131"/>
      <c r="G56" s="133"/>
      <c r="H56" s="132"/>
      <c r="I56" s="133"/>
      <c r="J56" s="133"/>
      <c r="K56" s="137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>
      <c r="A57" s="13"/>
      <c r="B57" s="131" t="str">
        <f>IFERROR(__xludf.DUMMYFUNCTION("""COMPUTED_VALUE"""),"")</f>
        <v/>
      </c>
      <c r="C57" s="131"/>
      <c r="D57" s="131"/>
      <c r="E57" s="131"/>
      <c r="F57" s="131"/>
      <c r="G57" s="133"/>
      <c r="H57" s="132"/>
      <c r="I57" s="133"/>
      <c r="J57" s="133"/>
      <c r="K57" s="137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>
      <c r="A58" s="13"/>
      <c r="B58" s="131" t="str">
        <f>IFERROR(__xludf.DUMMYFUNCTION("""COMPUTED_VALUE"""),"")</f>
        <v/>
      </c>
      <c r="C58" s="131"/>
      <c r="D58" s="131"/>
      <c r="E58" s="131"/>
      <c r="F58" s="131"/>
      <c r="G58" s="133"/>
      <c r="H58" s="132"/>
      <c r="I58" s="133"/>
      <c r="J58" s="133"/>
      <c r="K58" s="137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>
      <c r="A59" s="13"/>
      <c r="B59" s="131" t="str">
        <f>IFERROR(__xludf.DUMMYFUNCTION("""COMPUTED_VALUE"""),"")</f>
        <v/>
      </c>
      <c r="C59" s="131"/>
      <c r="D59" s="131"/>
      <c r="E59" s="131"/>
      <c r="F59" s="131"/>
      <c r="G59" s="133"/>
      <c r="H59" s="132"/>
      <c r="I59" s="133"/>
      <c r="J59" s="133"/>
      <c r="K59" s="137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>
      <c r="A60" s="13"/>
      <c r="B60" s="131" t="str">
        <f>IFERROR(__xludf.DUMMYFUNCTION("""COMPUTED_VALUE"""),"")</f>
        <v/>
      </c>
      <c r="C60" s="131"/>
      <c r="D60" s="131"/>
      <c r="E60" s="131"/>
      <c r="F60" s="131"/>
      <c r="G60" s="133"/>
      <c r="H60" s="132"/>
      <c r="I60" s="133"/>
      <c r="J60" s="133"/>
      <c r="K60" s="137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>
      <c r="A61" s="13"/>
      <c r="B61" s="131" t="str">
        <f>IFERROR(__xludf.DUMMYFUNCTION("""COMPUTED_VALUE"""),"")</f>
        <v/>
      </c>
      <c r="C61" s="131"/>
      <c r="D61" s="131"/>
      <c r="E61" s="131"/>
      <c r="F61" s="131"/>
      <c r="G61" s="133"/>
      <c r="H61" s="132"/>
      <c r="I61" s="133"/>
      <c r="J61" s="133"/>
      <c r="K61" s="137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>
      <c r="A62" s="13"/>
      <c r="B62" s="131" t="str">
        <f>IFERROR(__xludf.DUMMYFUNCTION("""COMPUTED_VALUE"""),"")</f>
        <v/>
      </c>
      <c r="C62" s="131"/>
      <c r="D62" s="131"/>
      <c r="E62" s="131"/>
      <c r="F62" s="131"/>
      <c r="G62" s="133"/>
      <c r="H62" s="132"/>
      <c r="I62" s="133"/>
      <c r="J62" s="133"/>
      <c r="K62" s="137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>
      <c r="A63" s="13"/>
      <c r="B63" s="131" t="str">
        <f>IFERROR(__xludf.DUMMYFUNCTION("""COMPUTED_VALUE"""),"")</f>
        <v/>
      </c>
      <c r="C63" s="131"/>
      <c r="D63" s="131"/>
      <c r="E63" s="131"/>
      <c r="F63" s="131"/>
      <c r="G63" s="133"/>
      <c r="H63" s="132"/>
      <c r="I63" s="133"/>
      <c r="J63" s="133"/>
      <c r="K63" s="137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>
      <c r="A64" s="13"/>
      <c r="B64" s="131" t="str">
        <f>IFERROR(__xludf.DUMMYFUNCTION("""COMPUTED_VALUE"""),"")</f>
        <v/>
      </c>
      <c r="C64" s="131"/>
      <c r="D64" s="131"/>
      <c r="E64" s="131"/>
      <c r="F64" s="131"/>
      <c r="G64" s="133"/>
      <c r="H64" s="132"/>
      <c r="I64" s="133"/>
      <c r="J64" s="133"/>
      <c r="K64" s="137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>
      <c r="A65" s="13"/>
      <c r="B65" s="131" t="str">
        <f>IFERROR(__xludf.DUMMYFUNCTION("""COMPUTED_VALUE"""),"")</f>
        <v/>
      </c>
      <c r="C65" s="131"/>
      <c r="D65" s="131"/>
      <c r="E65" s="131"/>
      <c r="F65" s="131"/>
      <c r="G65" s="133"/>
      <c r="H65" s="132"/>
      <c r="I65" s="133"/>
      <c r="J65" s="133"/>
      <c r="K65" s="137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>
      <c r="A66" s="13"/>
      <c r="B66" s="131" t="str">
        <f>IFERROR(__xludf.DUMMYFUNCTION("""COMPUTED_VALUE"""),"")</f>
        <v/>
      </c>
      <c r="C66" s="131"/>
      <c r="D66" s="131"/>
      <c r="E66" s="131"/>
      <c r="F66" s="131"/>
      <c r="G66" s="133"/>
      <c r="H66" s="132"/>
      <c r="I66" s="133"/>
      <c r="J66" s="133"/>
      <c r="K66" s="137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>
      <c r="A67" s="2"/>
      <c r="B67" s="131"/>
      <c r="C67" s="131"/>
      <c r="D67" s="131"/>
      <c r="E67" s="131"/>
      <c r="F67" s="131"/>
      <c r="G67" s="133"/>
      <c r="H67" s="132"/>
      <c r="I67" s="133"/>
      <c r="J67" s="133"/>
      <c r="K67" s="137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>
      <c r="A68" s="2"/>
      <c r="B68" s="131"/>
      <c r="C68" s="131"/>
      <c r="D68" s="131"/>
      <c r="E68" s="131"/>
      <c r="F68" s="131"/>
      <c r="G68" s="133"/>
      <c r="H68" s="132"/>
      <c r="I68" s="133"/>
      <c r="J68" s="133"/>
      <c r="K68" s="137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>
      <c r="A69" s="2"/>
      <c r="B69" s="131"/>
      <c r="C69" s="131"/>
      <c r="D69" s="131"/>
      <c r="E69" s="131"/>
      <c r="F69" s="131"/>
      <c r="G69" s="133"/>
      <c r="H69" s="132"/>
      <c r="I69" s="133"/>
      <c r="J69" s="133"/>
      <c r="K69" s="137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>
      <c r="A70" s="2"/>
      <c r="B70" s="131"/>
      <c r="C70" s="131"/>
      <c r="D70" s="131"/>
      <c r="E70" s="131"/>
      <c r="F70" s="131"/>
      <c r="G70" s="133"/>
      <c r="H70" s="132"/>
      <c r="I70" s="133"/>
      <c r="J70" s="133"/>
      <c r="K70" s="137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>
      <c r="A71" s="2"/>
      <c r="B71" s="131"/>
      <c r="C71" s="131"/>
      <c r="D71" s="131"/>
      <c r="E71" s="131"/>
      <c r="F71" s="131"/>
      <c r="G71" s="133"/>
      <c r="H71" s="132"/>
      <c r="I71" s="133"/>
      <c r="J71" s="133"/>
      <c r="K71" s="137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>
      <c r="A72" s="2"/>
      <c r="B72" s="131"/>
      <c r="C72" s="131"/>
      <c r="D72" s="131"/>
      <c r="E72" s="131"/>
      <c r="F72" s="131"/>
      <c r="G72" s="133"/>
      <c r="H72" s="132"/>
      <c r="I72" s="133"/>
      <c r="J72" s="133"/>
      <c r="K72" s="137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>
      <c r="A73" s="2"/>
      <c r="B73" s="131"/>
      <c r="C73" s="131"/>
      <c r="D73" s="131"/>
      <c r="E73" s="131"/>
      <c r="F73" s="131"/>
      <c r="G73" s="133"/>
      <c r="H73" s="132"/>
      <c r="I73" s="133"/>
      <c r="J73" s="133"/>
      <c r="K73" s="137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>
      <c r="A74" s="2"/>
      <c r="B74" s="131"/>
      <c r="C74" s="131"/>
      <c r="D74" s="131"/>
      <c r="E74" s="131"/>
      <c r="F74" s="131"/>
      <c r="G74" s="133"/>
      <c r="H74" s="132"/>
      <c r="I74" s="133"/>
      <c r="J74" s="133"/>
      <c r="K74" s="137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>
      <c r="A75" s="2"/>
      <c r="B75" s="131"/>
      <c r="C75" s="131"/>
      <c r="D75" s="131"/>
      <c r="E75" s="131"/>
      <c r="F75" s="131"/>
      <c r="G75" s="133"/>
      <c r="H75" s="132"/>
      <c r="I75" s="133"/>
      <c r="J75" s="133"/>
      <c r="K75" s="13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>
      <c r="A76" s="2"/>
      <c r="B76" s="131"/>
      <c r="C76" s="131"/>
      <c r="D76" s="131"/>
      <c r="E76" s="131"/>
      <c r="F76" s="131"/>
      <c r="G76" s="133"/>
      <c r="H76" s="132"/>
      <c r="I76" s="133"/>
      <c r="J76" s="133"/>
      <c r="K76" s="13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>
      <c r="A77" s="2"/>
      <c r="B77" s="131"/>
      <c r="C77" s="131"/>
      <c r="D77" s="131"/>
      <c r="E77" s="131"/>
      <c r="F77" s="131"/>
      <c r="G77" s="133"/>
      <c r="H77" s="132"/>
      <c r="I77" s="133"/>
      <c r="J77" s="133"/>
      <c r="K77" s="13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>
      <c r="A78" s="2"/>
      <c r="B78" s="131"/>
      <c r="C78" s="131"/>
      <c r="D78" s="131"/>
      <c r="E78" s="131"/>
      <c r="F78" s="131"/>
      <c r="G78" s="133"/>
      <c r="H78" s="132"/>
      <c r="I78" s="133"/>
      <c r="J78" s="133"/>
      <c r="K78" s="13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>
      <c r="A79" s="2"/>
      <c r="B79" s="131"/>
      <c r="C79" s="131"/>
      <c r="D79" s="131"/>
      <c r="E79" s="131"/>
      <c r="F79" s="131"/>
      <c r="G79" s="133"/>
      <c r="H79" s="132"/>
      <c r="I79" s="133"/>
      <c r="J79" s="133"/>
      <c r="K79" s="13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>
      <c r="A80" s="2"/>
      <c r="B80" s="131"/>
      <c r="C80" s="131"/>
      <c r="D80" s="131"/>
      <c r="E80" s="131"/>
      <c r="F80" s="131"/>
      <c r="G80" s="133"/>
      <c r="H80" s="132"/>
      <c r="I80" s="133"/>
      <c r="J80" s="133"/>
      <c r="K80" s="13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>
      <c r="A81" s="2"/>
      <c r="B81" s="131"/>
      <c r="C81" s="131"/>
      <c r="D81" s="131"/>
      <c r="E81" s="131"/>
      <c r="F81" s="131"/>
      <c r="G81" s="133"/>
      <c r="H81" s="132"/>
      <c r="I81" s="133"/>
      <c r="J81" s="133"/>
      <c r="K81" s="13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>
      <c r="A82" s="2"/>
      <c r="B82" s="131"/>
      <c r="C82" s="131"/>
      <c r="D82" s="131"/>
      <c r="E82" s="131"/>
      <c r="F82" s="131"/>
      <c r="G82" s="133"/>
      <c r="H82" s="132"/>
      <c r="I82" s="133"/>
      <c r="J82" s="133"/>
      <c r="K82" s="13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>
      <c r="A83" s="2"/>
      <c r="B83" s="131"/>
      <c r="C83" s="131"/>
      <c r="D83" s="131"/>
      <c r="E83" s="131"/>
      <c r="F83" s="131"/>
      <c r="G83" s="133"/>
      <c r="H83" s="132"/>
      <c r="I83" s="133"/>
      <c r="J83" s="133"/>
      <c r="K83" s="13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>
      <c r="A84" s="2"/>
      <c r="B84" s="131"/>
      <c r="C84" s="131"/>
      <c r="D84" s="131"/>
      <c r="E84" s="131"/>
      <c r="F84" s="131"/>
      <c r="G84" s="133"/>
      <c r="H84" s="132"/>
      <c r="I84" s="133"/>
      <c r="J84" s="133"/>
      <c r="K84" s="13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>
      <c r="A85" s="2"/>
      <c r="B85" s="131"/>
      <c r="C85" s="131"/>
      <c r="D85" s="131"/>
      <c r="E85" s="131"/>
      <c r="F85" s="131"/>
      <c r="G85" s="133"/>
      <c r="H85" s="132"/>
      <c r="I85" s="133"/>
      <c r="J85" s="133"/>
      <c r="K85" s="13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>
      <c r="A86" s="2"/>
      <c r="B86" s="131"/>
      <c r="C86" s="131"/>
      <c r="D86" s="131"/>
      <c r="E86" s="131"/>
      <c r="F86" s="131"/>
      <c r="G86" s="133"/>
      <c r="H86" s="132"/>
      <c r="I86" s="133"/>
      <c r="J86" s="133"/>
      <c r="K86" s="13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>
      <c r="A87" s="2"/>
      <c r="B87" s="131"/>
      <c r="C87" s="131"/>
      <c r="D87" s="131"/>
      <c r="E87" s="131"/>
      <c r="F87" s="131"/>
      <c r="G87" s="133"/>
      <c r="H87" s="132"/>
      <c r="I87" s="133"/>
      <c r="J87" s="133"/>
      <c r="K87" s="13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>
      <c r="A88" s="2"/>
      <c r="B88" s="131"/>
      <c r="C88" s="131"/>
      <c r="D88" s="131"/>
      <c r="E88" s="131"/>
      <c r="F88" s="131"/>
      <c r="G88" s="133"/>
      <c r="H88" s="132"/>
      <c r="I88" s="133"/>
      <c r="J88" s="133"/>
      <c r="K88" s="13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>
      <c r="A89" s="2"/>
      <c r="B89" s="131"/>
      <c r="C89" s="131"/>
      <c r="D89" s="131"/>
      <c r="E89" s="131"/>
      <c r="F89" s="131"/>
      <c r="G89" s="133"/>
      <c r="H89" s="132"/>
      <c r="I89" s="133"/>
      <c r="J89" s="133"/>
      <c r="K89" s="13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>
      <c r="A90" s="2"/>
      <c r="B90" s="131"/>
      <c r="C90" s="131"/>
      <c r="D90" s="131"/>
      <c r="E90" s="131"/>
      <c r="F90" s="131"/>
      <c r="G90" s="133"/>
      <c r="H90" s="132"/>
      <c r="I90" s="133"/>
      <c r="J90" s="133"/>
      <c r="K90" s="13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>
      <c r="A91" s="2"/>
      <c r="B91" s="131"/>
      <c r="C91" s="131"/>
      <c r="D91" s="131"/>
      <c r="E91" s="131"/>
      <c r="F91" s="131"/>
      <c r="G91" s="133"/>
      <c r="H91" s="132"/>
      <c r="I91" s="133"/>
      <c r="J91" s="133"/>
      <c r="K91" s="13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>
      <c r="A92" s="2"/>
      <c r="B92" s="131"/>
      <c r="C92" s="131"/>
      <c r="D92" s="131"/>
      <c r="E92" s="131"/>
      <c r="F92" s="131"/>
      <c r="G92" s="133"/>
      <c r="H92" s="132"/>
      <c r="I92" s="133"/>
      <c r="J92" s="133"/>
      <c r="K92" s="13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>
      <c r="A93" s="2"/>
      <c r="B93" s="131"/>
      <c r="C93" s="131"/>
      <c r="D93" s="131"/>
      <c r="E93" s="131"/>
      <c r="F93" s="131"/>
      <c r="G93" s="133"/>
      <c r="H93" s="132"/>
      <c r="I93" s="133"/>
      <c r="J93" s="133"/>
      <c r="K93" s="13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>
      <c r="A94" s="2"/>
      <c r="B94" s="131"/>
      <c r="C94" s="131"/>
      <c r="D94" s="131"/>
      <c r="E94" s="131"/>
      <c r="F94" s="131"/>
      <c r="G94" s="133"/>
      <c r="H94" s="132"/>
      <c r="I94" s="133"/>
      <c r="J94" s="133"/>
      <c r="K94" s="137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>
      <c r="A95" s="2"/>
      <c r="B95" s="131"/>
      <c r="C95" s="131"/>
      <c r="D95" s="131"/>
      <c r="E95" s="131"/>
      <c r="F95" s="131"/>
      <c r="G95" s="133"/>
      <c r="H95" s="132"/>
      <c r="I95" s="133"/>
      <c r="J95" s="133"/>
      <c r="K95" s="137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>
      <c r="A96" s="2"/>
      <c r="B96" s="131"/>
      <c r="C96" s="131"/>
      <c r="D96" s="131"/>
      <c r="E96" s="131"/>
      <c r="F96" s="131"/>
      <c r="G96" s="133"/>
      <c r="H96" s="132"/>
      <c r="I96" s="133"/>
      <c r="J96" s="133"/>
      <c r="K96" s="137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>
      <c r="A97" s="2"/>
      <c r="B97" s="131"/>
      <c r="C97" s="131"/>
      <c r="D97" s="131"/>
      <c r="E97" s="131"/>
      <c r="F97" s="131"/>
      <c r="G97" s="133"/>
      <c r="H97" s="132"/>
      <c r="I97" s="133"/>
      <c r="J97" s="133"/>
      <c r="K97" s="137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>
      <c r="A98" s="2"/>
      <c r="B98" s="131"/>
      <c r="C98" s="131"/>
      <c r="D98" s="131"/>
      <c r="E98" s="131"/>
      <c r="F98" s="131"/>
      <c r="G98" s="133"/>
      <c r="H98" s="132"/>
      <c r="I98" s="133"/>
      <c r="J98" s="133"/>
      <c r="K98" s="13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>
      <c r="A99" s="2"/>
      <c r="B99" s="131"/>
      <c r="C99" s="131"/>
      <c r="D99" s="131"/>
      <c r="E99" s="131"/>
      <c r="F99" s="131"/>
      <c r="G99" s="133"/>
      <c r="H99" s="132"/>
      <c r="I99" s="133"/>
      <c r="J99" s="133"/>
      <c r="K99" s="13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>
      <c r="A100" s="2"/>
      <c r="B100" s="131"/>
      <c r="C100" s="131"/>
      <c r="D100" s="131"/>
      <c r="E100" s="131"/>
      <c r="F100" s="131"/>
      <c r="G100" s="133"/>
      <c r="H100" s="132"/>
      <c r="I100" s="133"/>
      <c r="J100" s="133"/>
      <c r="K100" s="13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>
      <c r="A101" s="2"/>
      <c r="B101" s="131"/>
      <c r="C101" s="131"/>
      <c r="D101" s="131"/>
      <c r="E101" s="131"/>
      <c r="F101" s="131"/>
      <c r="G101" s="133"/>
      <c r="H101" s="132"/>
      <c r="I101" s="133"/>
      <c r="J101" s="133"/>
      <c r="K101" s="13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>
      <c r="A102" s="2"/>
      <c r="B102" s="131"/>
      <c r="C102" s="131"/>
      <c r="D102" s="131"/>
      <c r="E102" s="131"/>
      <c r="F102" s="131"/>
      <c r="G102" s="133"/>
      <c r="H102" s="132"/>
      <c r="I102" s="133"/>
      <c r="J102" s="133"/>
      <c r="K102" s="137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>
      <c r="A103" s="2"/>
      <c r="B103" s="131"/>
      <c r="C103" s="131"/>
      <c r="D103" s="131"/>
      <c r="E103" s="131"/>
      <c r="F103" s="131"/>
      <c r="G103" s="133"/>
      <c r="H103" s="132"/>
      <c r="I103" s="133"/>
      <c r="J103" s="133"/>
      <c r="K103" s="137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>
      <c r="A104" s="2"/>
      <c r="B104" s="131"/>
      <c r="C104" s="131"/>
      <c r="D104" s="131"/>
      <c r="E104" s="131"/>
      <c r="F104" s="131"/>
      <c r="G104" s="133"/>
      <c r="H104" s="132"/>
      <c r="I104" s="133"/>
      <c r="J104" s="133"/>
      <c r="K104" s="137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>
      <c r="A105" s="2"/>
      <c r="B105" s="131"/>
      <c r="C105" s="131"/>
      <c r="D105" s="131"/>
      <c r="E105" s="131"/>
      <c r="F105" s="131"/>
      <c r="G105" s="133"/>
      <c r="H105" s="132"/>
      <c r="I105" s="133"/>
      <c r="J105" s="133"/>
      <c r="K105" s="137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>
      <c r="A106" s="2"/>
      <c r="B106" s="131"/>
      <c r="C106" s="131"/>
      <c r="D106" s="131"/>
      <c r="E106" s="131"/>
      <c r="F106" s="131"/>
      <c r="G106" s="133"/>
      <c r="H106" s="132"/>
      <c r="I106" s="133"/>
      <c r="J106" s="133"/>
      <c r="K106" s="137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>
      <c r="A107" s="2"/>
      <c r="B107" s="131"/>
      <c r="C107" s="131"/>
      <c r="D107" s="131"/>
      <c r="E107" s="131"/>
      <c r="F107" s="131"/>
      <c r="G107" s="133"/>
      <c r="H107" s="132"/>
      <c r="I107" s="133"/>
      <c r="J107" s="133"/>
      <c r="K107" s="137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>
      <c r="A108" s="2"/>
      <c r="B108" s="131"/>
      <c r="C108" s="131"/>
      <c r="D108" s="131"/>
      <c r="E108" s="131"/>
      <c r="F108" s="131"/>
      <c r="G108" s="133"/>
      <c r="H108" s="132"/>
      <c r="I108" s="133"/>
      <c r="J108" s="133"/>
      <c r="K108" s="137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>
      <c r="A109" s="2"/>
      <c r="B109" s="131"/>
      <c r="C109" s="131"/>
      <c r="D109" s="131"/>
      <c r="E109" s="131"/>
      <c r="F109" s="131"/>
      <c r="G109" s="133"/>
      <c r="H109" s="132"/>
      <c r="I109" s="133"/>
      <c r="J109" s="133"/>
      <c r="K109" s="137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>
      <c r="A110" s="2"/>
      <c r="B110" s="131"/>
      <c r="C110" s="131"/>
      <c r="D110" s="131"/>
      <c r="E110" s="131"/>
      <c r="F110" s="131"/>
      <c r="G110" s="133"/>
      <c r="H110" s="132"/>
      <c r="I110" s="133"/>
      <c r="J110" s="133"/>
      <c r="K110" s="137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>
      <c r="A111" s="2"/>
      <c r="B111" s="131"/>
      <c r="C111" s="131"/>
      <c r="D111" s="131"/>
      <c r="E111" s="131"/>
      <c r="F111" s="131"/>
      <c r="G111" s="133"/>
      <c r="H111" s="132"/>
      <c r="I111" s="133"/>
      <c r="J111" s="133"/>
      <c r="K111" s="137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>
      <c r="A112" s="2"/>
      <c r="B112" s="131"/>
      <c r="C112" s="131"/>
      <c r="D112" s="131"/>
      <c r="E112" s="131"/>
      <c r="F112" s="131"/>
      <c r="G112" s="133"/>
      <c r="H112" s="132"/>
      <c r="I112" s="133"/>
      <c r="J112" s="133"/>
      <c r="K112" s="137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>
      <c r="A113" s="2"/>
      <c r="B113" s="131"/>
      <c r="C113" s="131"/>
      <c r="D113" s="131"/>
      <c r="E113" s="131"/>
      <c r="F113" s="131"/>
      <c r="G113" s="133"/>
      <c r="H113" s="132"/>
      <c r="I113" s="133"/>
      <c r="J113" s="133"/>
      <c r="K113" s="137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>
      <c r="A114" s="2"/>
      <c r="B114" s="131"/>
      <c r="C114" s="131"/>
      <c r="D114" s="131"/>
      <c r="E114" s="131"/>
      <c r="F114" s="131"/>
      <c r="G114" s="133"/>
      <c r="H114" s="132"/>
      <c r="I114" s="133"/>
      <c r="J114" s="133"/>
      <c r="K114" s="137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>
      <c r="A115" s="2"/>
      <c r="B115" s="131"/>
      <c r="C115" s="131"/>
      <c r="D115" s="131"/>
      <c r="E115" s="131"/>
      <c r="F115" s="131"/>
      <c r="G115" s="133"/>
      <c r="H115" s="132"/>
      <c r="I115" s="133"/>
      <c r="J115" s="133"/>
      <c r="K115" s="137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>
      <c r="A116" s="2"/>
      <c r="B116" s="131"/>
      <c r="C116" s="131"/>
      <c r="D116" s="131"/>
      <c r="E116" s="131"/>
      <c r="F116" s="131"/>
      <c r="G116" s="133"/>
      <c r="H116" s="132"/>
      <c r="I116" s="133"/>
      <c r="J116" s="133"/>
      <c r="K116" s="137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>
      <c r="A117" s="2"/>
      <c r="B117" s="131"/>
      <c r="C117" s="131"/>
      <c r="D117" s="131"/>
      <c r="E117" s="131"/>
      <c r="F117" s="131"/>
      <c r="G117" s="133"/>
      <c r="H117" s="132"/>
      <c r="I117" s="133"/>
      <c r="J117" s="133"/>
      <c r="K117" s="13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>
      <c r="A118" s="2"/>
      <c r="B118" s="131"/>
      <c r="C118" s="131"/>
      <c r="D118" s="131"/>
      <c r="E118" s="131"/>
      <c r="F118" s="131"/>
      <c r="G118" s="133"/>
      <c r="H118" s="132"/>
      <c r="I118" s="133"/>
      <c r="J118" s="133"/>
      <c r="K118" s="13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>
      <c r="A119" s="2"/>
      <c r="B119" s="131"/>
      <c r="C119" s="131"/>
      <c r="D119" s="131"/>
      <c r="E119" s="131"/>
      <c r="F119" s="131"/>
      <c r="G119" s="133"/>
      <c r="H119" s="132"/>
      <c r="I119" s="133"/>
      <c r="J119" s="133"/>
      <c r="K119" s="13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>
      <c r="A120" s="2"/>
      <c r="B120" s="131"/>
      <c r="C120" s="131"/>
      <c r="D120" s="131"/>
      <c r="E120" s="131"/>
      <c r="F120" s="131"/>
      <c r="G120" s="133"/>
      <c r="H120" s="132"/>
      <c r="I120" s="133"/>
      <c r="J120" s="133"/>
      <c r="K120" s="137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>
      <c r="A121" s="2"/>
      <c r="B121" s="131"/>
      <c r="C121" s="131"/>
      <c r="D121" s="131"/>
      <c r="E121" s="131"/>
      <c r="F121" s="131"/>
      <c r="G121" s="133"/>
      <c r="H121" s="132"/>
      <c r="I121" s="133"/>
      <c r="J121" s="133"/>
      <c r="K121" s="137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>
      <c r="A122" s="2"/>
      <c r="B122" s="131"/>
      <c r="C122" s="131"/>
      <c r="D122" s="131"/>
      <c r="E122" s="131"/>
      <c r="F122" s="131"/>
      <c r="G122" s="133"/>
      <c r="H122" s="132"/>
      <c r="I122" s="133"/>
      <c r="J122" s="133"/>
      <c r="K122" s="137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>
      <c r="A123" s="2"/>
      <c r="B123" s="131"/>
      <c r="C123" s="131"/>
      <c r="D123" s="131"/>
      <c r="E123" s="131"/>
      <c r="F123" s="131"/>
      <c r="G123" s="133"/>
      <c r="H123" s="132"/>
      <c r="I123" s="133"/>
      <c r="J123" s="133"/>
      <c r="K123" s="137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>
      <c r="A124" s="2"/>
      <c r="B124" s="131"/>
      <c r="C124" s="131"/>
      <c r="D124" s="131"/>
      <c r="E124" s="131"/>
      <c r="F124" s="131"/>
      <c r="G124" s="133"/>
      <c r="H124" s="132"/>
      <c r="I124" s="133"/>
      <c r="J124" s="133"/>
      <c r="K124" s="137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>
      <c r="A125" s="2"/>
      <c r="B125" s="131"/>
      <c r="C125" s="131"/>
      <c r="D125" s="131"/>
      <c r="E125" s="131"/>
      <c r="F125" s="131"/>
      <c r="G125" s="133"/>
      <c r="H125" s="132"/>
      <c r="I125" s="133"/>
      <c r="J125" s="133"/>
      <c r="K125" s="137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>
      <c r="A126" s="2"/>
      <c r="B126" s="131"/>
      <c r="C126" s="131"/>
      <c r="D126" s="131"/>
      <c r="E126" s="131"/>
      <c r="F126" s="131"/>
      <c r="G126" s="133"/>
      <c r="H126" s="132"/>
      <c r="I126" s="133"/>
      <c r="J126" s="133"/>
      <c r="K126" s="137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>
      <c r="A127" s="2"/>
      <c r="B127" s="131"/>
      <c r="C127" s="131"/>
      <c r="D127" s="131"/>
      <c r="E127" s="131"/>
      <c r="F127" s="131"/>
      <c r="G127" s="133"/>
      <c r="H127" s="132"/>
      <c r="I127" s="133"/>
      <c r="J127" s="133"/>
      <c r="K127" s="137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>
      <c r="A128" s="2"/>
      <c r="B128" s="131"/>
      <c r="C128" s="131"/>
      <c r="D128" s="131"/>
      <c r="E128" s="131"/>
      <c r="F128" s="131"/>
      <c r="G128" s="133"/>
      <c r="H128" s="132"/>
      <c r="I128" s="133"/>
      <c r="J128" s="133"/>
      <c r="K128" s="137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>
      <c r="A129" s="2"/>
      <c r="B129" s="131"/>
      <c r="C129" s="131"/>
      <c r="D129" s="131"/>
      <c r="E129" s="131"/>
      <c r="F129" s="131"/>
      <c r="G129" s="133"/>
      <c r="H129" s="132"/>
      <c r="I129" s="133"/>
      <c r="J129" s="133"/>
      <c r="K129" s="137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>
      <c r="A130" s="2"/>
      <c r="B130" s="131"/>
      <c r="C130" s="131"/>
      <c r="D130" s="131"/>
      <c r="E130" s="131"/>
      <c r="F130" s="131"/>
      <c r="G130" s="133"/>
      <c r="H130" s="132"/>
      <c r="I130" s="133"/>
      <c r="J130" s="133"/>
      <c r="K130" s="137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>
      <c r="A131" s="2"/>
      <c r="B131" s="131"/>
      <c r="C131" s="131"/>
      <c r="D131" s="131"/>
      <c r="E131" s="131"/>
      <c r="F131" s="131"/>
      <c r="G131" s="133"/>
      <c r="H131" s="132"/>
      <c r="I131" s="133"/>
      <c r="J131" s="133"/>
      <c r="K131" s="137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>
      <c r="A132" s="2"/>
      <c r="B132" s="131"/>
      <c r="C132" s="131"/>
      <c r="D132" s="131"/>
      <c r="E132" s="131"/>
      <c r="F132" s="131"/>
      <c r="G132" s="133"/>
      <c r="H132" s="132"/>
      <c r="I132" s="133"/>
      <c r="J132" s="133"/>
      <c r="K132" s="137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>
      <c r="A133" s="2"/>
      <c r="B133" s="131"/>
      <c r="C133" s="131"/>
      <c r="D133" s="131"/>
      <c r="E133" s="131"/>
      <c r="F133" s="131"/>
      <c r="G133" s="133"/>
      <c r="H133" s="132"/>
      <c r="I133" s="133"/>
      <c r="J133" s="133"/>
      <c r="K133" s="137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>
      <c r="A134" s="2"/>
      <c r="B134" s="131"/>
      <c r="C134" s="131"/>
      <c r="D134" s="131"/>
      <c r="E134" s="131"/>
      <c r="F134" s="131"/>
      <c r="G134" s="133"/>
      <c r="H134" s="132"/>
      <c r="I134" s="133"/>
      <c r="J134" s="133"/>
      <c r="K134" s="137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>
      <c r="A135" s="2"/>
      <c r="B135" s="131"/>
      <c r="C135" s="131"/>
      <c r="D135" s="131"/>
      <c r="E135" s="131"/>
      <c r="F135" s="131"/>
      <c r="G135" s="133"/>
      <c r="H135" s="132"/>
      <c r="I135" s="133"/>
      <c r="J135" s="133"/>
      <c r="K135" s="137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>
      <c r="A136" s="2"/>
      <c r="B136" s="131"/>
      <c r="C136" s="131"/>
      <c r="D136" s="131"/>
      <c r="E136" s="131"/>
      <c r="F136" s="131"/>
      <c r="G136" s="133"/>
      <c r="H136" s="132"/>
      <c r="I136" s="133"/>
      <c r="J136" s="133"/>
      <c r="K136" s="137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>
      <c r="A137" s="2"/>
      <c r="B137" s="131"/>
      <c r="C137" s="131"/>
      <c r="D137" s="131"/>
      <c r="E137" s="131"/>
      <c r="F137" s="131"/>
      <c r="G137" s="133"/>
      <c r="H137" s="132"/>
      <c r="I137" s="133"/>
      <c r="J137" s="133"/>
      <c r="K137" s="137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>
      <c r="A138" s="2"/>
      <c r="B138" s="131"/>
      <c r="C138" s="131"/>
      <c r="D138" s="131"/>
      <c r="E138" s="131"/>
      <c r="F138" s="131"/>
      <c r="G138" s="133"/>
      <c r="H138" s="132"/>
      <c r="I138" s="133"/>
      <c r="J138" s="133"/>
      <c r="K138" s="137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>
      <c r="A139" s="2"/>
      <c r="B139" s="131"/>
      <c r="C139" s="131"/>
      <c r="D139" s="131"/>
      <c r="E139" s="131"/>
      <c r="F139" s="131"/>
      <c r="G139" s="133"/>
      <c r="H139" s="132"/>
      <c r="I139" s="133"/>
      <c r="J139" s="133"/>
      <c r="K139" s="137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>
      <c r="A140" s="2"/>
      <c r="B140" s="131"/>
      <c r="C140" s="131"/>
      <c r="D140" s="131"/>
      <c r="E140" s="131"/>
      <c r="F140" s="131"/>
      <c r="G140" s="133"/>
      <c r="H140" s="132"/>
      <c r="I140" s="133"/>
      <c r="J140" s="133"/>
      <c r="K140" s="137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>
      <c r="A141" s="2"/>
      <c r="B141" s="131"/>
      <c r="C141" s="131"/>
      <c r="D141" s="131"/>
      <c r="E141" s="131"/>
      <c r="F141" s="131"/>
      <c r="G141" s="133"/>
      <c r="H141" s="132"/>
      <c r="I141" s="133"/>
      <c r="J141" s="133"/>
      <c r="K141" s="137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>
      <c r="A142" s="2"/>
      <c r="B142" s="131"/>
      <c r="C142" s="131"/>
      <c r="D142" s="131"/>
      <c r="E142" s="131"/>
      <c r="F142" s="131"/>
      <c r="G142" s="133"/>
      <c r="H142" s="132"/>
      <c r="I142" s="133"/>
      <c r="J142" s="133"/>
      <c r="K142" s="137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>
      <c r="A143" s="2"/>
      <c r="B143" s="131"/>
      <c r="C143" s="131"/>
      <c r="D143" s="131"/>
      <c r="E143" s="131"/>
      <c r="F143" s="131"/>
      <c r="G143" s="133"/>
      <c r="H143" s="132"/>
      <c r="I143" s="133"/>
      <c r="J143" s="133"/>
      <c r="K143" s="137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>
      <c r="A144" s="2"/>
      <c r="B144" s="131"/>
      <c r="C144" s="131"/>
      <c r="D144" s="131"/>
      <c r="E144" s="131"/>
      <c r="F144" s="131"/>
      <c r="G144" s="133"/>
      <c r="H144" s="132"/>
      <c r="I144" s="133"/>
      <c r="J144" s="133"/>
      <c r="K144" s="137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>
      <c r="A145" s="2"/>
      <c r="B145" s="131"/>
      <c r="C145" s="131"/>
      <c r="D145" s="131"/>
      <c r="E145" s="131"/>
      <c r="F145" s="131"/>
      <c r="G145" s="133"/>
      <c r="H145" s="132"/>
      <c r="I145" s="133"/>
      <c r="J145" s="133"/>
      <c r="K145" s="137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>
      <c r="A146" s="2"/>
      <c r="B146" s="131"/>
      <c r="C146" s="131"/>
      <c r="D146" s="131"/>
      <c r="E146" s="131"/>
      <c r="F146" s="131"/>
      <c r="G146" s="133"/>
      <c r="H146" s="132"/>
      <c r="I146" s="133"/>
      <c r="J146" s="133"/>
      <c r="K146" s="137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>
      <c r="A147" s="2"/>
      <c r="B147" s="131"/>
      <c r="C147" s="131"/>
      <c r="D147" s="131"/>
      <c r="E147" s="131"/>
      <c r="F147" s="131"/>
      <c r="G147" s="133"/>
      <c r="H147" s="132"/>
      <c r="I147" s="133"/>
      <c r="J147" s="133"/>
      <c r="K147" s="137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>
      <c r="A148" s="2"/>
      <c r="B148" s="131"/>
      <c r="C148" s="131"/>
      <c r="D148" s="131"/>
      <c r="E148" s="131"/>
      <c r="F148" s="131"/>
      <c r="G148" s="133"/>
      <c r="H148" s="132"/>
      <c r="I148" s="133"/>
      <c r="J148" s="133"/>
      <c r="K148" s="137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>
      <c r="A149" s="2"/>
      <c r="B149" s="131"/>
      <c r="C149" s="131"/>
      <c r="D149" s="131"/>
      <c r="E149" s="131"/>
      <c r="F149" s="131"/>
      <c r="G149" s="133"/>
      <c r="H149" s="132"/>
      <c r="I149" s="133"/>
      <c r="J149" s="133"/>
      <c r="K149" s="137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>
      <c r="A150" s="2"/>
      <c r="B150" s="131"/>
      <c r="C150" s="131"/>
      <c r="D150" s="131"/>
      <c r="E150" s="131"/>
      <c r="F150" s="131"/>
      <c r="G150" s="133"/>
      <c r="H150" s="132"/>
      <c r="I150" s="133"/>
      <c r="J150" s="133"/>
      <c r="K150" s="137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>
      <c r="A151" s="2"/>
      <c r="B151" s="131"/>
      <c r="C151" s="131"/>
      <c r="D151" s="131"/>
      <c r="E151" s="131"/>
      <c r="F151" s="131"/>
      <c r="G151" s="133"/>
      <c r="H151" s="132"/>
      <c r="I151" s="133"/>
      <c r="J151" s="133"/>
      <c r="K151" s="137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>
      <c r="A152" s="2"/>
      <c r="B152" s="131"/>
      <c r="C152" s="131"/>
      <c r="D152" s="131"/>
      <c r="E152" s="131"/>
      <c r="F152" s="131"/>
      <c r="G152" s="133"/>
      <c r="H152" s="132"/>
      <c r="I152" s="133"/>
      <c r="J152" s="133"/>
      <c r="K152" s="137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>
      <c r="A153" s="2"/>
      <c r="B153" s="131"/>
      <c r="C153" s="131"/>
      <c r="D153" s="131"/>
      <c r="E153" s="131"/>
      <c r="F153" s="131"/>
      <c r="G153" s="133"/>
      <c r="H153" s="132"/>
      <c r="I153" s="133"/>
      <c r="J153" s="133"/>
      <c r="K153" s="137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>
      <c r="A154" s="2"/>
      <c r="B154" s="131"/>
      <c r="C154" s="131"/>
      <c r="D154" s="131"/>
      <c r="E154" s="131"/>
      <c r="F154" s="131"/>
      <c r="G154" s="133"/>
      <c r="H154" s="132"/>
      <c r="I154" s="133"/>
      <c r="J154" s="133"/>
      <c r="K154" s="137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>
      <c r="A155" s="2"/>
      <c r="B155" s="131"/>
      <c r="C155" s="131"/>
      <c r="D155" s="131"/>
      <c r="E155" s="131"/>
      <c r="F155" s="131"/>
      <c r="G155" s="133"/>
      <c r="H155" s="132"/>
      <c r="I155" s="133"/>
      <c r="J155" s="133"/>
      <c r="K155" s="137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>
      <c r="A156" s="2"/>
      <c r="B156" s="131"/>
      <c r="C156" s="131"/>
      <c r="D156" s="131"/>
      <c r="E156" s="131"/>
      <c r="F156" s="131"/>
      <c r="G156" s="133"/>
      <c r="H156" s="132"/>
      <c r="I156" s="133"/>
      <c r="J156" s="133"/>
      <c r="K156" s="137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>
      <c r="A157" s="2"/>
      <c r="B157" s="131"/>
      <c r="C157" s="131"/>
      <c r="D157" s="131"/>
      <c r="E157" s="131"/>
      <c r="F157" s="131"/>
      <c r="G157" s="133"/>
      <c r="H157" s="132"/>
      <c r="I157" s="133"/>
      <c r="J157" s="133"/>
      <c r="K157" s="137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>
      <c r="A158" s="2"/>
      <c r="B158" s="131"/>
      <c r="C158" s="131"/>
      <c r="D158" s="131"/>
      <c r="E158" s="131"/>
      <c r="F158" s="131"/>
      <c r="G158" s="133"/>
      <c r="H158" s="132"/>
      <c r="I158" s="133"/>
      <c r="J158" s="133"/>
      <c r="K158" s="137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>
      <c r="A159" s="2"/>
      <c r="B159" s="131"/>
      <c r="C159" s="131"/>
      <c r="D159" s="131"/>
      <c r="E159" s="131"/>
      <c r="F159" s="131"/>
      <c r="G159" s="133"/>
      <c r="H159" s="132"/>
      <c r="I159" s="133"/>
      <c r="J159" s="133"/>
      <c r="K159" s="137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>
      <c r="A160" s="2"/>
      <c r="B160" s="131"/>
      <c r="C160" s="131"/>
      <c r="D160" s="131"/>
      <c r="E160" s="131"/>
      <c r="F160" s="131"/>
      <c r="G160" s="133"/>
      <c r="H160" s="132"/>
      <c r="I160" s="133"/>
      <c r="J160" s="133"/>
      <c r="K160" s="137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>
      <c r="A161" s="2"/>
      <c r="B161" s="131"/>
      <c r="C161" s="131"/>
      <c r="D161" s="131"/>
      <c r="E161" s="131"/>
      <c r="F161" s="131"/>
      <c r="G161" s="133"/>
      <c r="H161" s="132"/>
      <c r="I161" s="133"/>
      <c r="J161" s="133"/>
      <c r="K161" s="137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>
      <c r="A162" s="2"/>
      <c r="B162" s="131"/>
      <c r="C162" s="131"/>
      <c r="D162" s="131"/>
      <c r="E162" s="131"/>
      <c r="F162" s="131"/>
      <c r="G162" s="133"/>
      <c r="H162" s="132"/>
      <c r="I162" s="133"/>
      <c r="J162" s="133"/>
      <c r="K162" s="137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>
      <c r="A163" s="2"/>
      <c r="B163" s="131"/>
      <c r="C163" s="131"/>
      <c r="D163" s="131"/>
      <c r="E163" s="131"/>
      <c r="F163" s="131"/>
      <c r="G163" s="133"/>
      <c r="H163" s="132"/>
      <c r="I163" s="133"/>
      <c r="J163" s="133"/>
      <c r="K163" s="137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>
      <c r="A164" s="2"/>
      <c r="B164" s="131"/>
      <c r="C164" s="131"/>
      <c r="D164" s="131"/>
      <c r="E164" s="131"/>
      <c r="F164" s="131"/>
      <c r="G164" s="133"/>
      <c r="H164" s="132"/>
      <c r="I164" s="133"/>
      <c r="J164" s="133"/>
      <c r="K164" s="137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>
      <c r="A165" s="2"/>
      <c r="B165" s="131"/>
      <c r="C165" s="131"/>
      <c r="D165" s="131"/>
      <c r="E165" s="131"/>
      <c r="F165" s="131"/>
      <c r="G165" s="133"/>
      <c r="H165" s="132"/>
      <c r="I165" s="133"/>
      <c r="J165" s="133"/>
      <c r="K165" s="137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>
      <c r="A166" s="2"/>
      <c r="B166" s="131"/>
      <c r="C166" s="131"/>
      <c r="D166" s="131"/>
      <c r="E166" s="131"/>
      <c r="F166" s="131"/>
      <c r="G166" s="133"/>
      <c r="H166" s="132"/>
      <c r="I166" s="133"/>
      <c r="J166" s="133"/>
      <c r="K166" s="137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>
      <c r="A167" s="2"/>
      <c r="B167" s="131"/>
      <c r="C167" s="131"/>
      <c r="D167" s="131"/>
      <c r="E167" s="131"/>
      <c r="F167" s="131"/>
      <c r="G167" s="133"/>
      <c r="H167" s="132"/>
      <c r="I167" s="133"/>
      <c r="J167" s="133"/>
      <c r="K167" s="137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>
      <c r="A168" s="2"/>
      <c r="B168" s="131"/>
      <c r="C168" s="131"/>
      <c r="D168" s="131"/>
      <c r="E168" s="131"/>
      <c r="F168" s="131"/>
      <c r="G168" s="133"/>
      <c r="H168" s="132"/>
      <c r="I168" s="133"/>
      <c r="J168" s="133"/>
      <c r="K168" s="137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>
      <c r="A169" s="2"/>
      <c r="B169" s="131"/>
      <c r="C169" s="131"/>
      <c r="D169" s="131"/>
      <c r="E169" s="131"/>
      <c r="F169" s="131"/>
      <c r="G169" s="133"/>
      <c r="H169" s="132"/>
      <c r="I169" s="133"/>
      <c r="J169" s="133"/>
      <c r="K169" s="137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>
      <c r="A170" s="2"/>
      <c r="B170" s="131"/>
      <c r="C170" s="131"/>
      <c r="D170" s="131"/>
      <c r="E170" s="131"/>
      <c r="F170" s="131"/>
      <c r="G170" s="133"/>
      <c r="H170" s="132"/>
      <c r="I170" s="133"/>
      <c r="J170" s="133"/>
      <c r="K170" s="137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>
      <c r="A171" s="2"/>
      <c r="B171" s="131"/>
      <c r="C171" s="131"/>
      <c r="D171" s="131"/>
      <c r="E171" s="131"/>
      <c r="F171" s="131"/>
      <c r="G171" s="133"/>
      <c r="H171" s="132"/>
      <c r="I171" s="133"/>
      <c r="J171" s="133"/>
      <c r="K171" s="137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>
      <c r="A172" s="2"/>
      <c r="B172" s="131"/>
      <c r="C172" s="131"/>
      <c r="D172" s="131"/>
      <c r="E172" s="131"/>
      <c r="F172" s="131"/>
      <c r="G172" s="133"/>
      <c r="H172" s="132"/>
      <c r="I172" s="133"/>
      <c r="J172" s="133"/>
      <c r="K172" s="137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>
      <c r="A173" s="2"/>
      <c r="B173" s="131"/>
      <c r="C173" s="131"/>
      <c r="D173" s="131"/>
      <c r="E173" s="131"/>
      <c r="F173" s="131"/>
      <c r="G173" s="133"/>
      <c r="H173" s="132"/>
      <c r="I173" s="133"/>
      <c r="J173" s="133"/>
      <c r="K173" s="137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>
      <c r="A174" s="2"/>
      <c r="B174" s="131"/>
      <c r="C174" s="131"/>
      <c r="D174" s="131"/>
      <c r="E174" s="131"/>
      <c r="F174" s="131"/>
      <c r="G174" s="133"/>
      <c r="H174" s="132"/>
      <c r="I174" s="133"/>
      <c r="J174" s="133"/>
      <c r="K174" s="137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>
      <c r="A175" s="2"/>
      <c r="B175" s="131"/>
      <c r="C175" s="131"/>
      <c r="D175" s="131"/>
      <c r="E175" s="131"/>
      <c r="F175" s="131"/>
      <c r="G175" s="133"/>
      <c r="H175" s="132"/>
      <c r="I175" s="133"/>
      <c r="J175" s="133"/>
      <c r="K175" s="137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>
      <c r="A176" s="2"/>
      <c r="B176" s="131"/>
      <c r="C176" s="131"/>
      <c r="D176" s="131"/>
      <c r="E176" s="131"/>
      <c r="F176" s="131"/>
      <c r="G176" s="133"/>
      <c r="H176" s="132"/>
      <c r="I176" s="133"/>
      <c r="J176" s="133"/>
      <c r="K176" s="137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>
      <c r="A177" s="2"/>
      <c r="B177" s="131"/>
      <c r="C177" s="131"/>
      <c r="D177" s="131"/>
      <c r="E177" s="131"/>
      <c r="F177" s="131"/>
      <c r="G177" s="133"/>
      <c r="H177" s="132"/>
      <c r="I177" s="133"/>
      <c r="J177" s="133"/>
      <c r="K177" s="137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>
      <c r="A178" s="2"/>
      <c r="B178" s="131"/>
      <c r="C178" s="131"/>
      <c r="D178" s="131"/>
      <c r="E178" s="131"/>
      <c r="F178" s="131"/>
      <c r="G178" s="133"/>
      <c r="H178" s="132"/>
      <c r="I178" s="133"/>
      <c r="J178" s="133"/>
      <c r="K178" s="137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>
      <c r="A179" s="2"/>
      <c r="B179" s="131"/>
      <c r="C179" s="131"/>
      <c r="D179" s="131"/>
      <c r="E179" s="131"/>
      <c r="F179" s="131"/>
      <c r="G179" s="133"/>
      <c r="H179" s="132"/>
      <c r="I179" s="133"/>
      <c r="J179" s="133"/>
      <c r="K179" s="137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>
      <c r="A180" s="2"/>
      <c r="B180" s="131"/>
      <c r="C180" s="131"/>
      <c r="D180" s="131"/>
      <c r="E180" s="131"/>
      <c r="F180" s="131"/>
      <c r="G180" s="133"/>
      <c r="H180" s="132"/>
      <c r="I180" s="133"/>
      <c r="J180" s="133"/>
      <c r="K180" s="137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>
      <c r="A181" s="2"/>
      <c r="B181" s="131"/>
      <c r="C181" s="131"/>
      <c r="D181" s="131"/>
      <c r="E181" s="131"/>
      <c r="F181" s="131"/>
      <c r="G181" s="133"/>
      <c r="H181" s="132"/>
      <c r="I181" s="133"/>
      <c r="J181" s="133"/>
      <c r="K181" s="137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>
      <c r="A182" s="2"/>
      <c r="B182" s="131"/>
      <c r="C182" s="131"/>
      <c r="D182" s="131"/>
      <c r="E182" s="131"/>
      <c r="F182" s="131"/>
      <c r="G182" s="133"/>
      <c r="H182" s="132"/>
      <c r="I182" s="133"/>
      <c r="J182" s="133"/>
      <c r="K182" s="137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>
      <c r="A183" s="2"/>
      <c r="B183" s="131"/>
      <c r="C183" s="131"/>
      <c r="D183" s="131"/>
      <c r="E183" s="131"/>
      <c r="F183" s="131"/>
      <c r="G183" s="133"/>
      <c r="H183" s="132"/>
      <c r="I183" s="133"/>
      <c r="J183" s="133"/>
      <c r="K183" s="137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>
      <c r="A184" s="2"/>
      <c r="B184" s="131"/>
      <c r="C184" s="131"/>
      <c r="D184" s="131"/>
      <c r="E184" s="131"/>
      <c r="F184" s="131"/>
      <c r="G184" s="133"/>
      <c r="H184" s="132"/>
      <c r="I184" s="133"/>
      <c r="J184" s="133"/>
      <c r="K184" s="137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>
      <c r="A185" s="2"/>
      <c r="B185" s="131"/>
      <c r="C185" s="131"/>
      <c r="D185" s="131"/>
      <c r="E185" s="131"/>
      <c r="F185" s="131"/>
      <c r="G185" s="133"/>
      <c r="H185" s="132"/>
      <c r="I185" s="133"/>
      <c r="J185" s="133"/>
      <c r="K185" s="137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>
      <c r="A186" s="2"/>
      <c r="B186" s="131"/>
      <c r="C186" s="131"/>
      <c r="D186" s="131"/>
      <c r="E186" s="131"/>
      <c r="F186" s="131"/>
      <c r="G186" s="133"/>
      <c r="H186" s="132"/>
      <c r="I186" s="133"/>
      <c r="J186" s="133"/>
      <c r="K186" s="137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>
      <c r="A187" s="2"/>
      <c r="B187" s="131"/>
      <c r="C187" s="131"/>
      <c r="D187" s="131"/>
      <c r="E187" s="131"/>
      <c r="F187" s="131"/>
      <c r="G187" s="133"/>
      <c r="H187" s="132"/>
      <c r="I187" s="133"/>
      <c r="J187" s="133"/>
      <c r="K187" s="137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>
      <c r="A188" s="2"/>
      <c r="B188" s="131"/>
      <c r="C188" s="131"/>
      <c r="D188" s="131"/>
      <c r="E188" s="131"/>
      <c r="F188" s="131"/>
      <c r="G188" s="133"/>
      <c r="H188" s="132"/>
      <c r="I188" s="133"/>
      <c r="J188" s="133"/>
      <c r="K188" s="137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>
      <c r="A189" s="2"/>
      <c r="B189" s="131"/>
      <c r="C189" s="131"/>
      <c r="D189" s="131"/>
      <c r="E189" s="131"/>
      <c r="F189" s="131"/>
      <c r="G189" s="133"/>
      <c r="H189" s="132"/>
      <c r="I189" s="133"/>
      <c r="J189" s="133"/>
      <c r="K189" s="137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>
      <c r="A190" s="2"/>
      <c r="B190" s="131"/>
      <c r="C190" s="131"/>
      <c r="D190" s="131"/>
      <c r="E190" s="131"/>
      <c r="F190" s="131"/>
      <c r="G190" s="133"/>
      <c r="H190" s="132"/>
      <c r="I190" s="133"/>
      <c r="J190" s="133"/>
      <c r="K190" s="137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>
      <c r="A191" s="2"/>
      <c r="B191" s="131"/>
      <c r="C191" s="131"/>
      <c r="D191" s="131"/>
      <c r="E191" s="131"/>
      <c r="F191" s="131"/>
      <c r="G191" s="133"/>
      <c r="H191" s="132"/>
      <c r="I191" s="133"/>
      <c r="J191" s="133"/>
      <c r="K191" s="137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>
      <c r="A192" s="2"/>
      <c r="B192" s="131"/>
      <c r="C192" s="131"/>
      <c r="D192" s="131"/>
      <c r="E192" s="131"/>
      <c r="F192" s="131"/>
      <c r="G192" s="133"/>
      <c r="H192" s="132"/>
      <c r="I192" s="133"/>
      <c r="J192" s="133"/>
      <c r="K192" s="137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>
      <c r="A193" s="2"/>
      <c r="B193" s="131"/>
      <c r="C193" s="131"/>
      <c r="D193" s="131"/>
      <c r="E193" s="131"/>
      <c r="F193" s="131"/>
      <c r="G193" s="133"/>
      <c r="H193" s="132"/>
      <c r="I193" s="133"/>
      <c r="J193" s="133"/>
      <c r="K193" s="137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>
      <c r="A194" s="2"/>
      <c r="B194" s="131"/>
      <c r="C194" s="131"/>
      <c r="D194" s="131"/>
      <c r="E194" s="131"/>
      <c r="F194" s="131"/>
      <c r="G194" s="133"/>
      <c r="H194" s="132"/>
      <c r="I194" s="133"/>
      <c r="J194" s="133"/>
      <c r="K194" s="137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>
      <c r="A195" s="2"/>
      <c r="B195" s="131"/>
      <c r="C195" s="131"/>
      <c r="D195" s="131"/>
      <c r="E195" s="131"/>
      <c r="F195" s="131"/>
      <c r="G195" s="133"/>
      <c r="H195" s="132"/>
      <c r="I195" s="133"/>
      <c r="J195" s="133"/>
      <c r="K195" s="137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>
      <c r="A196" s="2"/>
      <c r="B196" s="131"/>
      <c r="C196" s="131"/>
      <c r="D196" s="131"/>
      <c r="E196" s="131"/>
      <c r="F196" s="131"/>
      <c r="G196" s="133"/>
      <c r="H196" s="132"/>
      <c r="I196" s="133"/>
      <c r="J196" s="133"/>
      <c r="K196" s="137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>
      <c r="A197" s="2"/>
      <c r="B197" s="131"/>
      <c r="C197" s="131"/>
      <c r="D197" s="131"/>
      <c r="E197" s="131"/>
      <c r="F197" s="131"/>
      <c r="G197" s="133"/>
      <c r="H197" s="132"/>
      <c r="I197" s="133"/>
      <c r="J197" s="133"/>
      <c r="K197" s="137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>
      <c r="A198" s="2"/>
      <c r="B198" s="131"/>
      <c r="C198" s="131"/>
      <c r="D198" s="131"/>
      <c r="E198" s="131"/>
      <c r="F198" s="131"/>
      <c r="G198" s="133"/>
      <c r="H198" s="132"/>
      <c r="I198" s="133"/>
      <c r="J198" s="133"/>
      <c r="K198" s="137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>
      <c r="A199" s="2"/>
      <c r="B199" s="131"/>
      <c r="C199" s="131"/>
      <c r="D199" s="131"/>
      <c r="E199" s="131"/>
      <c r="F199" s="131"/>
      <c r="G199" s="133"/>
      <c r="H199" s="132"/>
      <c r="I199" s="133"/>
      <c r="J199" s="133"/>
      <c r="K199" s="137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>
      <c r="A200" s="2"/>
      <c r="B200" s="131"/>
      <c r="C200" s="131"/>
      <c r="D200" s="131"/>
      <c r="E200" s="131"/>
      <c r="F200" s="131"/>
      <c r="G200" s="133"/>
      <c r="H200" s="132"/>
      <c r="I200" s="133"/>
      <c r="J200" s="133"/>
      <c r="K200" s="137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>
      <c r="A201" s="2"/>
      <c r="B201" s="131"/>
      <c r="C201" s="131"/>
      <c r="D201" s="131"/>
      <c r="E201" s="131"/>
      <c r="F201" s="131"/>
      <c r="G201" s="133"/>
      <c r="H201" s="132"/>
      <c r="I201" s="133"/>
      <c r="J201" s="133"/>
      <c r="K201" s="137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>
      <c r="A202" s="2"/>
      <c r="B202" s="131"/>
      <c r="C202" s="131"/>
      <c r="D202" s="131"/>
      <c r="E202" s="131"/>
      <c r="F202" s="131"/>
      <c r="G202" s="133"/>
      <c r="H202" s="132"/>
      <c r="I202" s="133"/>
      <c r="J202" s="133"/>
      <c r="K202" s="137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>
      <c r="A203" s="2"/>
      <c r="B203" s="131"/>
      <c r="C203" s="131"/>
      <c r="D203" s="131"/>
      <c r="E203" s="131"/>
      <c r="F203" s="131"/>
      <c r="G203" s="133"/>
      <c r="H203" s="132"/>
      <c r="I203" s="133"/>
      <c r="J203" s="133"/>
      <c r="K203" s="137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>
      <c r="A204" s="2"/>
      <c r="B204" s="131"/>
      <c r="C204" s="131"/>
      <c r="D204" s="131"/>
      <c r="E204" s="131"/>
      <c r="F204" s="131"/>
      <c r="G204" s="133"/>
      <c r="H204" s="132"/>
      <c r="I204" s="133"/>
      <c r="J204" s="133"/>
      <c r="K204" s="137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>
      <c r="A205" s="2"/>
      <c r="B205" s="131"/>
      <c r="C205" s="131"/>
      <c r="D205" s="131"/>
      <c r="E205" s="131"/>
      <c r="F205" s="131"/>
      <c r="G205" s="133"/>
      <c r="H205" s="132"/>
      <c r="I205" s="133"/>
      <c r="J205" s="133"/>
      <c r="K205" s="137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>
      <c r="A206" s="2"/>
      <c r="B206" s="131"/>
      <c r="C206" s="131"/>
      <c r="D206" s="131"/>
      <c r="E206" s="131"/>
      <c r="F206" s="131"/>
      <c r="G206" s="133"/>
      <c r="H206" s="132"/>
      <c r="I206" s="133"/>
      <c r="J206" s="133"/>
      <c r="K206" s="137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>
      <c r="A207" s="2"/>
      <c r="B207" s="131"/>
      <c r="C207" s="131"/>
      <c r="D207" s="131"/>
      <c r="E207" s="131"/>
      <c r="F207" s="131"/>
      <c r="G207" s="133"/>
      <c r="H207" s="132"/>
      <c r="I207" s="133"/>
      <c r="J207" s="133"/>
      <c r="K207" s="137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>
      <c r="A208" s="2"/>
      <c r="B208" s="131"/>
      <c r="C208" s="131"/>
      <c r="D208" s="131"/>
      <c r="E208" s="131"/>
      <c r="F208" s="131"/>
      <c r="G208" s="133"/>
      <c r="H208" s="132"/>
      <c r="I208" s="133"/>
      <c r="J208" s="133"/>
      <c r="K208" s="137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>
      <c r="A209" s="2"/>
      <c r="B209" s="131"/>
      <c r="C209" s="131"/>
      <c r="D209" s="131"/>
      <c r="E209" s="131"/>
      <c r="F209" s="131"/>
      <c r="G209" s="133"/>
      <c r="H209" s="132"/>
      <c r="I209" s="133"/>
      <c r="J209" s="133"/>
      <c r="K209" s="137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>
      <c r="A210" s="2"/>
      <c r="B210" s="131"/>
      <c r="C210" s="131"/>
      <c r="D210" s="131"/>
      <c r="E210" s="131"/>
      <c r="F210" s="131"/>
      <c r="G210" s="133"/>
      <c r="H210" s="132"/>
      <c r="I210" s="133"/>
      <c r="J210" s="133"/>
      <c r="K210" s="137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>
      <c r="A211" s="2"/>
      <c r="B211" s="131"/>
      <c r="C211" s="131"/>
      <c r="D211" s="131"/>
      <c r="E211" s="131"/>
      <c r="F211" s="131"/>
      <c r="G211" s="133"/>
      <c r="H211" s="132"/>
      <c r="I211" s="133"/>
      <c r="J211" s="133"/>
      <c r="K211" s="137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>
      <c r="A212" s="2"/>
      <c r="B212" s="131"/>
      <c r="C212" s="131"/>
      <c r="D212" s="131"/>
      <c r="E212" s="131"/>
      <c r="F212" s="131"/>
      <c r="G212" s="133"/>
      <c r="H212" s="132"/>
      <c r="I212" s="133"/>
      <c r="J212" s="133"/>
      <c r="K212" s="137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>
      <c r="A213" s="2"/>
      <c r="B213" s="131"/>
      <c r="C213" s="131"/>
      <c r="D213" s="131"/>
      <c r="E213" s="131"/>
      <c r="F213" s="131"/>
      <c r="G213" s="133"/>
      <c r="H213" s="132"/>
      <c r="I213" s="133"/>
      <c r="J213" s="133"/>
      <c r="K213" s="137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>
      <c r="A214" s="2"/>
      <c r="B214" s="131"/>
      <c r="C214" s="131"/>
      <c r="D214" s="131"/>
      <c r="E214" s="131"/>
      <c r="F214" s="131"/>
      <c r="G214" s="133"/>
      <c r="H214" s="132"/>
      <c r="I214" s="133"/>
      <c r="J214" s="133"/>
      <c r="K214" s="137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>
      <c r="A215" s="2"/>
      <c r="B215" s="131"/>
      <c r="C215" s="131"/>
      <c r="D215" s="131"/>
      <c r="E215" s="131"/>
      <c r="F215" s="131"/>
      <c r="G215" s="133"/>
      <c r="H215" s="132"/>
      <c r="I215" s="133"/>
      <c r="J215" s="133"/>
      <c r="K215" s="137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>
      <c r="A216" s="2"/>
      <c r="B216" s="131"/>
      <c r="C216" s="131"/>
      <c r="D216" s="131"/>
      <c r="E216" s="131"/>
      <c r="F216" s="131"/>
      <c r="G216" s="133"/>
      <c r="H216" s="132"/>
      <c r="I216" s="133"/>
      <c r="J216" s="133"/>
      <c r="K216" s="137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>
      <c r="A217" s="2"/>
      <c r="B217" s="131"/>
      <c r="C217" s="131"/>
      <c r="D217" s="131"/>
      <c r="E217" s="131"/>
      <c r="F217" s="131"/>
      <c r="G217" s="133"/>
      <c r="H217" s="132"/>
      <c r="I217" s="133"/>
      <c r="J217" s="133"/>
      <c r="K217" s="137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>
      <c r="A218" s="2"/>
      <c r="B218" s="131"/>
      <c r="C218" s="131"/>
      <c r="D218" s="131"/>
      <c r="E218" s="131"/>
      <c r="F218" s="131"/>
      <c r="G218" s="133"/>
      <c r="H218" s="132"/>
      <c r="I218" s="133"/>
      <c r="J218" s="133"/>
      <c r="K218" s="137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>
      <c r="A219" s="2"/>
      <c r="B219" s="131"/>
      <c r="C219" s="131"/>
      <c r="D219" s="131"/>
      <c r="E219" s="131"/>
      <c r="F219" s="131"/>
      <c r="G219" s="133"/>
      <c r="H219" s="132"/>
      <c r="I219" s="133"/>
      <c r="J219" s="133"/>
      <c r="K219" s="137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>
      <c r="A220" s="2"/>
      <c r="B220" s="131"/>
      <c r="C220" s="131"/>
      <c r="D220" s="131"/>
      <c r="E220" s="131"/>
      <c r="F220" s="131"/>
      <c r="G220" s="133"/>
      <c r="H220" s="132"/>
      <c r="I220" s="133"/>
      <c r="J220" s="133"/>
      <c r="K220" s="137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>
      <c r="A221" s="2"/>
      <c r="B221" s="131"/>
      <c r="C221" s="131"/>
      <c r="D221" s="131"/>
      <c r="E221" s="131"/>
      <c r="F221" s="131"/>
      <c r="G221" s="133"/>
      <c r="H221" s="132"/>
      <c r="I221" s="133"/>
      <c r="J221" s="133"/>
      <c r="K221" s="137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>
      <c r="A222" s="2"/>
      <c r="B222" s="131"/>
      <c r="C222" s="131"/>
      <c r="D222" s="131"/>
      <c r="E222" s="131"/>
      <c r="F222" s="131"/>
      <c r="G222" s="133"/>
      <c r="H222" s="132"/>
      <c r="I222" s="133"/>
      <c r="J222" s="133"/>
      <c r="K222" s="137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>
      <c r="A223" s="2"/>
      <c r="B223" s="131"/>
      <c r="C223" s="131"/>
      <c r="D223" s="131"/>
      <c r="E223" s="131"/>
      <c r="F223" s="131"/>
      <c r="G223" s="133"/>
      <c r="H223" s="132"/>
      <c r="I223" s="133"/>
      <c r="J223" s="133"/>
      <c r="K223" s="137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>
      <c r="A224" s="2"/>
      <c r="B224" s="131"/>
      <c r="C224" s="131"/>
      <c r="D224" s="131"/>
      <c r="E224" s="131"/>
      <c r="F224" s="131"/>
      <c r="G224" s="133"/>
      <c r="H224" s="132"/>
      <c r="I224" s="133"/>
      <c r="J224" s="133"/>
      <c r="K224" s="137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>
      <c r="A225" s="2"/>
      <c r="B225" s="131"/>
      <c r="C225" s="131"/>
      <c r="D225" s="131"/>
      <c r="E225" s="131"/>
      <c r="F225" s="131"/>
      <c r="G225" s="133"/>
      <c r="H225" s="132"/>
      <c r="I225" s="133"/>
      <c r="J225" s="133"/>
      <c r="K225" s="137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>
      <c r="A226" s="2"/>
      <c r="B226" s="131"/>
      <c r="C226" s="131"/>
      <c r="D226" s="131"/>
      <c r="E226" s="131"/>
      <c r="F226" s="131"/>
      <c r="G226" s="133"/>
      <c r="H226" s="132"/>
      <c r="I226" s="133"/>
      <c r="J226" s="133"/>
      <c r="K226" s="137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>
      <c r="A227" s="2"/>
      <c r="B227" s="131"/>
      <c r="C227" s="131"/>
      <c r="D227" s="131"/>
      <c r="E227" s="131"/>
      <c r="F227" s="131"/>
      <c r="G227" s="133"/>
      <c r="H227" s="132"/>
      <c r="I227" s="133"/>
      <c r="J227" s="133"/>
      <c r="K227" s="137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>
      <c r="A228" s="2"/>
      <c r="B228" s="131"/>
      <c r="C228" s="131"/>
      <c r="D228" s="131"/>
      <c r="E228" s="131"/>
      <c r="F228" s="131"/>
      <c r="G228" s="133"/>
      <c r="H228" s="132"/>
      <c r="I228" s="133"/>
      <c r="J228" s="133"/>
      <c r="K228" s="137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>
      <c r="A229" s="2"/>
      <c r="B229" s="131"/>
      <c r="C229" s="131"/>
      <c r="D229" s="131"/>
      <c r="E229" s="131"/>
      <c r="F229" s="131"/>
      <c r="G229" s="133"/>
      <c r="H229" s="132"/>
      <c r="I229" s="133"/>
      <c r="J229" s="133"/>
      <c r="K229" s="137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>
      <c r="A230" s="2"/>
      <c r="B230" s="131"/>
      <c r="C230" s="131"/>
      <c r="D230" s="131"/>
      <c r="E230" s="131"/>
      <c r="F230" s="131"/>
      <c r="G230" s="133"/>
      <c r="H230" s="132"/>
      <c r="I230" s="133"/>
      <c r="J230" s="133"/>
      <c r="K230" s="137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>
      <c r="A231" s="2"/>
      <c r="B231" s="131"/>
      <c r="C231" s="131"/>
      <c r="D231" s="131"/>
      <c r="E231" s="131"/>
      <c r="F231" s="131"/>
      <c r="G231" s="133"/>
      <c r="H231" s="132"/>
      <c r="I231" s="133"/>
      <c r="J231" s="133"/>
      <c r="K231" s="137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>
      <c r="A232" s="2"/>
      <c r="B232" s="131"/>
      <c r="C232" s="131"/>
      <c r="D232" s="131"/>
      <c r="E232" s="131"/>
      <c r="F232" s="131"/>
      <c r="G232" s="133"/>
      <c r="H232" s="132"/>
      <c r="I232" s="133"/>
      <c r="J232" s="133"/>
      <c r="K232" s="137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>
      <c r="A233" s="2"/>
      <c r="B233" s="131"/>
      <c r="C233" s="131"/>
      <c r="D233" s="131"/>
      <c r="E233" s="131"/>
      <c r="F233" s="131"/>
      <c r="G233" s="133"/>
      <c r="H233" s="132"/>
      <c r="I233" s="133"/>
      <c r="J233" s="133"/>
      <c r="K233" s="137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>
      <c r="A234" s="2"/>
      <c r="B234" s="131"/>
      <c r="C234" s="131"/>
      <c r="D234" s="131"/>
      <c r="E234" s="131"/>
      <c r="F234" s="131"/>
      <c r="G234" s="133"/>
      <c r="H234" s="132"/>
      <c r="I234" s="133"/>
      <c r="J234" s="133"/>
      <c r="K234" s="137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>
      <c r="A235" s="2"/>
      <c r="B235" s="131"/>
      <c r="C235" s="131"/>
      <c r="D235" s="131"/>
      <c r="E235" s="131"/>
      <c r="F235" s="131"/>
      <c r="G235" s="133"/>
      <c r="H235" s="132"/>
      <c r="I235" s="133"/>
      <c r="J235" s="133"/>
      <c r="K235" s="137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>
      <c r="A236" s="2"/>
      <c r="B236" s="131"/>
      <c r="C236" s="131"/>
      <c r="D236" s="131"/>
      <c r="E236" s="131"/>
      <c r="F236" s="131"/>
      <c r="G236" s="133"/>
      <c r="H236" s="132"/>
      <c r="I236" s="133"/>
      <c r="J236" s="133"/>
      <c r="K236" s="137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>
      <c r="A237" s="2"/>
      <c r="B237" s="131"/>
      <c r="C237" s="131"/>
      <c r="D237" s="131"/>
      <c r="E237" s="131"/>
      <c r="F237" s="131"/>
      <c r="G237" s="133"/>
      <c r="H237" s="132"/>
      <c r="I237" s="133"/>
      <c r="J237" s="133"/>
      <c r="K237" s="137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>
      <c r="A238" s="2"/>
      <c r="B238" s="131"/>
      <c r="C238" s="131"/>
      <c r="D238" s="131"/>
      <c r="E238" s="131"/>
      <c r="F238" s="131"/>
      <c r="G238" s="133"/>
      <c r="H238" s="132"/>
      <c r="I238" s="133"/>
      <c r="J238" s="133"/>
      <c r="K238" s="137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>
      <c r="A239" s="2"/>
      <c r="B239" s="131"/>
      <c r="C239" s="131"/>
      <c r="D239" s="131"/>
      <c r="E239" s="131"/>
      <c r="F239" s="131"/>
      <c r="G239" s="133"/>
      <c r="H239" s="132"/>
      <c r="I239" s="133"/>
      <c r="J239" s="133"/>
      <c r="K239" s="137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>
      <c r="A240" s="2"/>
      <c r="B240" s="131"/>
      <c r="C240" s="131"/>
      <c r="D240" s="131"/>
      <c r="E240" s="131"/>
      <c r="F240" s="131"/>
      <c r="G240" s="133"/>
      <c r="H240" s="132"/>
      <c r="I240" s="133"/>
      <c r="J240" s="133"/>
      <c r="K240" s="137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>
      <c r="A241" s="2"/>
      <c r="B241" s="131"/>
      <c r="C241" s="131"/>
      <c r="D241" s="131"/>
      <c r="E241" s="131"/>
      <c r="F241" s="131"/>
      <c r="G241" s="133"/>
      <c r="H241" s="132"/>
      <c r="I241" s="133"/>
      <c r="J241" s="133"/>
      <c r="K241" s="137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>
      <c r="A242" s="2"/>
      <c r="B242" s="131"/>
      <c r="C242" s="131"/>
      <c r="D242" s="131"/>
      <c r="E242" s="131"/>
      <c r="F242" s="131"/>
      <c r="G242" s="133"/>
      <c r="H242" s="132"/>
      <c r="I242" s="133"/>
      <c r="J242" s="133"/>
      <c r="K242" s="137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>
      <c r="A243" s="2"/>
      <c r="B243" s="131"/>
      <c r="C243" s="131"/>
      <c r="D243" s="131"/>
      <c r="E243" s="131"/>
      <c r="F243" s="131"/>
      <c r="G243" s="133"/>
      <c r="H243" s="132"/>
      <c r="I243" s="133"/>
      <c r="J243" s="133"/>
      <c r="K243" s="137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>
      <c r="A244" s="2"/>
      <c r="B244" s="131"/>
      <c r="C244" s="131"/>
      <c r="D244" s="131"/>
      <c r="E244" s="131"/>
      <c r="F244" s="131"/>
      <c r="G244" s="133"/>
      <c r="H244" s="132"/>
      <c r="I244" s="133"/>
      <c r="J244" s="133"/>
      <c r="K244" s="137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>
      <c r="A245" s="2"/>
      <c r="B245" s="131"/>
      <c r="C245" s="131"/>
      <c r="D245" s="131"/>
      <c r="E245" s="131"/>
      <c r="F245" s="131"/>
      <c r="G245" s="133"/>
      <c r="H245" s="132"/>
      <c r="I245" s="133"/>
      <c r="J245" s="133"/>
      <c r="K245" s="137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>
      <c r="A246" s="2"/>
      <c r="B246" s="131"/>
      <c r="C246" s="131"/>
      <c r="D246" s="131"/>
      <c r="E246" s="131"/>
      <c r="F246" s="131"/>
      <c r="G246" s="133"/>
      <c r="H246" s="132"/>
      <c r="I246" s="133"/>
      <c r="J246" s="133"/>
      <c r="K246" s="137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>
      <c r="A247" s="2"/>
      <c r="B247" s="131"/>
      <c r="C247" s="131"/>
      <c r="D247" s="131"/>
      <c r="E247" s="131"/>
      <c r="F247" s="131"/>
      <c r="G247" s="133"/>
      <c r="H247" s="132"/>
      <c r="I247" s="133"/>
      <c r="J247" s="133"/>
      <c r="K247" s="137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>
      <c r="A248" s="2"/>
      <c r="B248" s="131"/>
      <c r="C248" s="131"/>
      <c r="D248" s="131"/>
      <c r="E248" s="131"/>
      <c r="F248" s="131"/>
      <c r="G248" s="133"/>
      <c r="H248" s="132"/>
      <c r="I248" s="133"/>
      <c r="J248" s="133"/>
      <c r="K248" s="137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>
      <c r="A249" s="2"/>
      <c r="B249" s="131"/>
      <c r="C249" s="131"/>
      <c r="D249" s="131"/>
      <c r="E249" s="131"/>
      <c r="F249" s="131"/>
      <c r="G249" s="133"/>
      <c r="H249" s="132"/>
      <c r="I249" s="133"/>
      <c r="J249" s="133"/>
      <c r="K249" s="137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>
      <c r="A250" s="2"/>
      <c r="B250" s="131"/>
      <c r="C250" s="131"/>
      <c r="D250" s="131"/>
      <c r="E250" s="131"/>
      <c r="F250" s="131"/>
      <c r="G250" s="133"/>
      <c r="H250" s="132"/>
      <c r="I250" s="133"/>
      <c r="J250" s="133"/>
      <c r="K250" s="137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>
      <c r="A251" s="2"/>
      <c r="B251" s="131"/>
      <c r="C251" s="131"/>
      <c r="D251" s="131"/>
      <c r="E251" s="131"/>
      <c r="F251" s="131"/>
      <c r="G251" s="133"/>
      <c r="H251" s="132"/>
      <c r="I251" s="133"/>
      <c r="J251" s="133"/>
      <c r="K251" s="137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>
      <c r="A252" s="2"/>
      <c r="B252" s="131"/>
      <c r="C252" s="131"/>
      <c r="D252" s="131"/>
      <c r="E252" s="131"/>
      <c r="F252" s="131"/>
      <c r="G252" s="133"/>
      <c r="H252" s="132"/>
      <c r="I252" s="133"/>
      <c r="J252" s="133"/>
      <c r="K252" s="137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>
      <c r="A253" s="2"/>
      <c r="B253" s="131"/>
      <c r="C253" s="131"/>
      <c r="D253" s="131"/>
      <c r="E253" s="131"/>
      <c r="F253" s="131"/>
      <c r="G253" s="133"/>
      <c r="H253" s="132"/>
      <c r="I253" s="133"/>
      <c r="J253" s="133"/>
      <c r="K253" s="137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>
      <c r="A254" s="2"/>
      <c r="B254" s="131"/>
      <c r="C254" s="131"/>
      <c r="D254" s="131"/>
      <c r="E254" s="131"/>
      <c r="F254" s="131"/>
      <c r="G254" s="133"/>
      <c r="H254" s="132"/>
      <c r="I254" s="133"/>
      <c r="J254" s="133"/>
      <c r="K254" s="137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>
      <c r="A255" s="2"/>
      <c r="B255" s="131"/>
      <c r="C255" s="131"/>
      <c r="D255" s="131"/>
      <c r="E255" s="131"/>
      <c r="F255" s="131"/>
      <c r="G255" s="133"/>
      <c r="H255" s="132"/>
      <c r="I255" s="133"/>
      <c r="J255" s="133"/>
      <c r="K255" s="137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>
      <c r="A256" s="2"/>
      <c r="B256" s="131"/>
      <c r="C256" s="131"/>
      <c r="D256" s="131"/>
      <c r="E256" s="131"/>
      <c r="F256" s="131"/>
      <c r="G256" s="133"/>
      <c r="H256" s="132"/>
      <c r="I256" s="133"/>
      <c r="J256" s="133"/>
      <c r="K256" s="137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>
      <c r="A257" s="2"/>
      <c r="B257" s="131"/>
      <c r="C257" s="131"/>
      <c r="D257" s="131"/>
      <c r="E257" s="131"/>
      <c r="F257" s="131"/>
      <c r="G257" s="133"/>
      <c r="H257" s="132"/>
      <c r="I257" s="133"/>
      <c r="J257" s="133"/>
      <c r="K257" s="137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>
      <c r="A258" s="2"/>
      <c r="B258" s="131"/>
      <c r="C258" s="131"/>
      <c r="D258" s="131"/>
      <c r="E258" s="131"/>
      <c r="F258" s="131"/>
      <c r="G258" s="133"/>
      <c r="H258" s="132"/>
      <c r="I258" s="133"/>
      <c r="J258" s="133"/>
      <c r="K258" s="137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>
      <c r="A259" s="2"/>
      <c r="B259" s="131"/>
      <c r="C259" s="131"/>
      <c r="D259" s="131"/>
      <c r="E259" s="131"/>
      <c r="F259" s="131"/>
      <c r="G259" s="133"/>
      <c r="H259" s="132"/>
      <c r="I259" s="133"/>
      <c r="J259" s="133"/>
      <c r="K259" s="137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>
      <c r="A260" s="2"/>
      <c r="B260" s="131"/>
      <c r="C260" s="131"/>
      <c r="D260" s="131"/>
      <c r="E260" s="131"/>
      <c r="F260" s="131"/>
      <c r="G260" s="133"/>
      <c r="H260" s="132"/>
      <c r="I260" s="133"/>
      <c r="J260" s="133"/>
      <c r="K260" s="137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>
      <c r="A261" s="2"/>
      <c r="B261" s="131"/>
      <c r="C261" s="131"/>
      <c r="D261" s="131"/>
      <c r="E261" s="131"/>
      <c r="F261" s="131"/>
      <c r="G261" s="133"/>
      <c r="H261" s="132"/>
      <c r="I261" s="133"/>
      <c r="J261" s="133"/>
      <c r="K261" s="137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>
      <c r="A262" s="2"/>
      <c r="B262" s="131"/>
      <c r="C262" s="131"/>
      <c r="D262" s="131"/>
      <c r="E262" s="131"/>
      <c r="F262" s="131"/>
      <c r="G262" s="133"/>
      <c r="H262" s="132"/>
      <c r="I262" s="133"/>
      <c r="J262" s="133"/>
      <c r="K262" s="137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>
      <c r="A263" s="2"/>
      <c r="B263" s="131"/>
      <c r="C263" s="131"/>
      <c r="D263" s="131"/>
      <c r="E263" s="131"/>
      <c r="F263" s="131"/>
      <c r="G263" s="133"/>
      <c r="H263" s="132"/>
      <c r="I263" s="133"/>
      <c r="J263" s="133"/>
      <c r="K263" s="137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>
      <c r="A264" s="2"/>
      <c r="B264" s="131"/>
      <c r="C264" s="131"/>
      <c r="D264" s="131"/>
      <c r="E264" s="131"/>
      <c r="F264" s="131"/>
      <c r="G264" s="133"/>
      <c r="H264" s="132"/>
      <c r="I264" s="133"/>
      <c r="J264" s="133"/>
      <c r="K264" s="137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>
      <c r="A265" s="2"/>
      <c r="B265" s="131"/>
      <c r="C265" s="131"/>
      <c r="D265" s="131"/>
      <c r="E265" s="131"/>
      <c r="F265" s="131"/>
      <c r="G265" s="133"/>
      <c r="H265" s="132"/>
      <c r="I265" s="133"/>
      <c r="J265" s="133"/>
      <c r="K265" s="137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>
      <c r="A266" s="2"/>
      <c r="B266" s="131"/>
      <c r="C266" s="131"/>
      <c r="D266" s="131"/>
      <c r="E266" s="131"/>
      <c r="F266" s="131"/>
      <c r="G266" s="133"/>
      <c r="H266" s="132"/>
      <c r="I266" s="133"/>
      <c r="J266" s="133"/>
      <c r="K266" s="137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>
      <c r="A267" s="2"/>
      <c r="B267" s="131"/>
      <c r="C267" s="131"/>
      <c r="D267" s="131"/>
      <c r="E267" s="131"/>
      <c r="F267" s="131"/>
      <c r="G267" s="133"/>
      <c r="H267" s="132"/>
      <c r="I267" s="133"/>
      <c r="J267" s="133"/>
      <c r="K267" s="137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>
      <c r="A268" s="2"/>
      <c r="B268" s="131"/>
      <c r="C268" s="131"/>
      <c r="D268" s="131"/>
      <c r="E268" s="131"/>
      <c r="F268" s="131"/>
      <c r="G268" s="133"/>
      <c r="H268" s="132"/>
      <c r="I268" s="133"/>
      <c r="J268" s="133"/>
      <c r="K268" s="137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>
      <c r="A269" s="2"/>
      <c r="B269" s="131"/>
      <c r="C269" s="131"/>
      <c r="D269" s="131"/>
      <c r="E269" s="131"/>
      <c r="F269" s="131"/>
      <c r="G269" s="133"/>
      <c r="H269" s="132"/>
      <c r="I269" s="133"/>
      <c r="J269" s="133"/>
      <c r="K269" s="137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>
      <c r="A270" s="2"/>
      <c r="B270" s="131"/>
      <c r="C270" s="131"/>
      <c r="D270" s="131"/>
      <c r="E270" s="131"/>
      <c r="F270" s="131"/>
      <c r="G270" s="133"/>
      <c r="H270" s="132"/>
      <c r="I270" s="133"/>
      <c r="J270" s="133"/>
      <c r="K270" s="137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>
      <c r="A271" s="2"/>
      <c r="B271" s="131"/>
      <c r="C271" s="131"/>
      <c r="D271" s="131"/>
      <c r="E271" s="131"/>
      <c r="F271" s="131"/>
      <c r="G271" s="133"/>
      <c r="H271" s="132"/>
      <c r="I271" s="133"/>
      <c r="J271" s="133"/>
      <c r="K271" s="137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>
      <c r="A272" s="2"/>
      <c r="B272" s="131"/>
      <c r="C272" s="131"/>
      <c r="D272" s="131"/>
      <c r="E272" s="131"/>
      <c r="F272" s="131"/>
      <c r="G272" s="133"/>
      <c r="H272" s="132"/>
      <c r="I272" s="133"/>
      <c r="J272" s="133"/>
      <c r="K272" s="137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>
      <c r="A273" s="2"/>
      <c r="B273" s="131"/>
      <c r="C273" s="131"/>
      <c r="D273" s="131"/>
      <c r="E273" s="131"/>
      <c r="F273" s="131"/>
      <c r="G273" s="133"/>
      <c r="H273" s="132"/>
      <c r="I273" s="133"/>
      <c r="J273" s="133"/>
      <c r="K273" s="137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>
      <c r="A274" s="2"/>
      <c r="B274" s="131"/>
      <c r="C274" s="131"/>
      <c r="D274" s="131"/>
      <c r="E274" s="131"/>
      <c r="F274" s="131"/>
      <c r="G274" s="133"/>
      <c r="H274" s="132"/>
      <c r="I274" s="133"/>
      <c r="J274" s="133"/>
      <c r="K274" s="137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>
      <c r="A275" s="2"/>
      <c r="B275" s="131"/>
      <c r="C275" s="131"/>
      <c r="D275" s="131"/>
      <c r="E275" s="131"/>
      <c r="F275" s="131"/>
      <c r="G275" s="133"/>
      <c r="H275" s="132"/>
      <c r="I275" s="133"/>
      <c r="J275" s="133"/>
      <c r="K275" s="137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>
      <c r="A276" s="2"/>
      <c r="B276" s="131"/>
      <c r="C276" s="131"/>
      <c r="D276" s="131"/>
      <c r="E276" s="131"/>
      <c r="F276" s="131"/>
      <c r="G276" s="133"/>
      <c r="H276" s="132"/>
      <c r="I276" s="133"/>
      <c r="J276" s="133"/>
      <c r="K276" s="137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>
      <c r="A277" s="2"/>
      <c r="B277" s="131"/>
      <c r="C277" s="131"/>
      <c r="D277" s="131"/>
      <c r="E277" s="131"/>
      <c r="F277" s="131"/>
      <c r="G277" s="133"/>
      <c r="H277" s="132"/>
      <c r="I277" s="133"/>
      <c r="J277" s="133"/>
      <c r="K277" s="137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>
      <c r="A278" s="2"/>
      <c r="B278" s="131"/>
      <c r="C278" s="131"/>
      <c r="D278" s="131"/>
      <c r="E278" s="131"/>
      <c r="F278" s="131"/>
      <c r="G278" s="133"/>
      <c r="H278" s="132"/>
      <c r="I278" s="133"/>
      <c r="J278" s="133"/>
      <c r="K278" s="137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>
      <c r="A279" s="2"/>
      <c r="B279" s="131"/>
      <c r="C279" s="131"/>
      <c r="D279" s="131"/>
      <c r="E279" s="131"/>
      <c r="F279" s="131"/>
      <c r="G279" s="133"/>
      <c r="H279" s="132"/>
      <c r="I279" s="133"/>
      <c r="J279" s="133"/>
      <c r="K279" s="137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>
      <c r="A280" s="2"/>
      <c r="B280" s="131"/>
      <c r="C280" s="131"/>
      <c r="D280" s="131"/>
      <c r="E280" s="131"/>
      <c r="F280" s="131"/>
      <c r="G280" s="133"/>
      <c r="H280" s="132"/>
      <c r="I280" s="133"/>
      <c r="J280" s="133"/>
      <c r="K280" s="137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>
      <c r="A281" s="2"/>
      <c r="B281" s="131"/>
      <c r="C281" s="131"/>
      <c r="D281" s="131"/>
      <c r="E281" s="131"/>
      <c r="F281" s="131"/>
      <c r="G281" s="133"/>
      <c r="H281" s="132"/>
      <c r="I281" s="133"/>
      <c r="J281" s="133"/>
      <c r="K281" s="137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>
      <c r="A282" s="2"/>
      <c r="B282" s="131"/>
      <c r="C282" s="131"/>
      <c r="D282" s="131"/>
      <c r="E282" s="131"/>
      <c r="F282" s="131"/>
      <c r="G282" s="133"/>
      <c r="H282" s="132"/>
      <c r="I282" s="133"/>
      <c r="J282" s="133"/>
      <c r="K282" s="137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>
      <c r="A283" s="2"/>
      <c r="B283" s="131"/>
      <c r="C283" s="131"/>
      <c r="D283" s="131"/>
      <c r="E283" s="131"/>
      <c r="F283" s="131"/>
      <c r="G283" s="133"/>
      <c r="H283" s="132"/>
      <c r="I283" s="133"/>
      <c r="J283" s="133"/>
      <c r="K283" s="137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>
      <c r="A284" s="2"/>
      <c r="B284" s="131"/>
      <c r="C284" s="131"/>
      <c r="D284" s="131"/>
      <c r="E284" s="131"/>
      <c r="F284" s="131"/>
      <c r="G284" s="133"/>
      <c r="H284" s="132"/>
      <c r="I284" s="133"/>
      <c r="J284" s="133"/>
      <c r="K284" s="137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>
      <c r="A285" s="2"/>
      <c r="B285" s="131"/>
      <c r="C285" s="131"/>
      <c r="D285" s="131"/>
      <c r="E285" s="131"/>
      <c r="F285" s="131"/>
      <c r="G285" s="133"/>
      <c r="H285" s="132"/>
      <c r="I285" s="133"/>
      <c r="J285" s="133"/>
      <c r="K285" s="137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>
      <c r="A286" s="2"/>
      <c r="B286" s="131"/>
      <c r="C286" s="131"/>
      <c r="D286" s="131"/>
      <c r="E286" s="131"/>
      <c r="F286" s="131"/>
      <c r="G286" s="133"/>
      <c r="H286" s="132"/>
      <c r="I286" s="133"/>
      <c r="J286" s="133"/>
      <c r="K286" s="137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>
      <c r="A287" s="2"/>
      <c r="B287" s="131"/>
      <c r="C287" s="131"/>
      <c r="D287" s="131"/>
      <c r="E287" s="131"/>
      <c r="F287" s="131"/>
      <c r="G287" s="133"/>
      <c r="H287" s="132"/>
      <c r="I287" s="133"/>
      <c r="J287" s="133"/>
      <c r="K287" s="137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>
      <c r="A288" s="2"/>
      <c r="B288" s="131"/>
      <c r="C288" s="131"/>
      <c r="D288" s="131"/>
      <c r="E288" s="131"/>
      <c r="F288" s="131"/>
      <c r="G288" s="133"/>
      <c r="H288" s="132"/>
      <c r="I288" s="133"/>
      <c r="J288" s="133"/>
      <c r="K288" s="137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>
      <c r="A289" s="2"/>
      <c r="B289" s="131"/>
      <c r="C289" s="131"/>
      <c r="D289" s="131"/>
      <c r="E289" s="131"/>
      <c r="F289" s="131"/>
      <c r="G289" s="133"/>
      <c r="H289" s="132"/>
      <c r="I289" s="133"/>
      <c r="J289" s="133"/>
      <c r="K289" s="137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>
      <c r="A290" s="2"/>
      <c r="B290" s="131"/>
      <c r="C290" s="131"/>
      <c r="D290" s="131"/>
      <c r="E290" s="131"/>
      <c r="F290" s="131"/>
      <c r="G290" s="133"/>
      <c r="H290" s="132"/>
      <c r="I290" s="133"/>
      <c r="J290" s="133"/>
      <c r="K290" s="137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>
      <c r="A291" s="2"/>
      <c r="B291" s="131"/>
      <c r="C291" s="131"/>
      <c r="D291" s="131"/>
      <c r="E291" s="131"/>
      <c r="F291" s="131"/>
      <c r="G291" s="133"/>
      <c r="H291" s="132"/>
      <c r="I291" s="133"/>
      <c r="J291" s="133"/>
      <c r="K291" s="137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>
      <c r="A292" s="2"/>
      <c r="B292" s="131"/>
      <c r="C292" s="131"/>
      <c r="D292" s="131"/>
      <c r="E292" s="131"/>
      <c r="F292" s="131"/>
      <c r="G292" s="133"/>
      <c r="H292" s="132"/>
      <c r="I292" s="133"/>
      <c r="J292" s="133"/>
      <c r="K292" s="137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>
      <c r="A293" s="2"/>
      <c r="B293" s="131"/>
      <c r="C293" s="131"/>
      <c r="D293" s="131"/>
      <c r="E293" s="131"/>
      <c r="F293" s="131"/>
      <c r="G293" s="133"/>
      <c r="H293" s="132"/>
      <c r="I293" s="133"/>
      <c r="J293" s="133"/>
      <c r="K293" s="137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>
      <c r="A294" s="2"/>
      <c r="B294" s="131"/>
      <c r="C294" s="131"/>
      <c r="D294" s="131"/>
      <c r="E294" s="131"/>
      <c r="F294" s="131"/>
      <c r="G294" s="133"/>
      <c r="H294" s="132"/>
      <c r="I294" s="133"/>
      <c r="J294" s="133"/>
      <c r="K294" s="137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>
      <c r="A295" s="2"/>
      <c r="B295" s="131"/>
      <c r="C295" s="131"/>
      <c r="D295" s="131"/>
      <c r="E295" s="131"/>
      <c r="F295" s="131"/>
      <c r="G295" s="133"/>
      <c r="H295" s="132"/>
      <c r="I295" s="133"/>
      <c r="J295" s="133"/>
      <c r="K295" s="137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>
      <c r="A296" s="2"/>
      <c r="B296" s="131"/>
      <c r="C296" s="131"/>
      <c r="D296" s="131"/>
      <c r="E296" s="131"/>
      <c r="F296" s="131"/>
      <c r="G296" s="133"/>
      <c r="H296" s="132"/>
      <c r="I296" s="133"/>
      <c r="J296" s="133"/>
      <c r="K296" s="137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>
      <c r="A297" s="2"/>
      <c r="B297" s="131"/>
      <c r="C297" s="131"/>
      <c r="D297" s="131"/>
      <c r="E297" s="131"/>
      <c r="F297" s="131"/>
      <c r="G297" s="133"/>
      <c r="H297" s="132"/>
      <c r="I297" s="133"/>
      <c r="J297" s="133"/>
      <c r="K297" s="137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>
      <c r="A298" s="2"/>
      <c r="B298" s="131"/>
      <c r="C298" s="131"/>
      <c r="D298" s="131"/>
      <c r="E298" s="131"/>
      <c r="F298" s="131"/>
      <c r="G298" s="133"/>
      <c r="H298" s="132"/>
      <c r="I298" s="133"/>
      <c r="J298" s="133"/>
      <c r="K298" s="137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>
      <c r="A299" s="2"/>
      <c r="B299" s="131"/>
      <c r="C299" s="131"/>
      <c r="D299" s="131"/>
      <c r="E299" s="131"/>
      <c r="F299" s="131"/>
      <c r="G299" s="133"/>
      <c r="H299" s="132"/>
      <c r="I299" s="133"/>
      <c r="J299" s="133"/>
      <c r="K299" s="137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>
      <c r="A300" s="2"/>
      <c r="B300" s="131"/>
      <c r="C300" s="131"/>
      <c r="D300" s="131"/>
      <c r="E300" s="131"/>
      <c r="F300" s="131"/>
      <c r="G300" s="133"/>
      <c r="H300" s="132"/>
      <c r="I300" s="133"/>
      <c r="J300" s="133"/>
      <c r="K300" s="137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>
      <c r="A301" s="2"/>
      <c r="B301" s="131"/>
      <c r="C301" s="131"/>
      <c r="D301" s="131"/>
      <c r="E301" s="131"/>
      <c r="F301" s="131"/>
      <c r="G301" s="133"/>
      <c r="H301" s="132"/>
      <c r="I301" s="133"/>
      <c r="J301" s="133"/>
      <c r="K301" s="137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>
      <c r="A302" s="2"/>
      <c r="B302" s="131"/>
      <c r="C302" s="131"/>
      <c r="D302" s="131"/>
      <c r="E302" s="131"/>
      <c r="F302" s="131"/>
      <c r="G302" s="133"/>
      <c r="H302" s="132"/>
      <c r="I302" s="133"/>
      <c r="J302" s="133"/>
      <c r="K302" s="137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>
      <c r="A303" s="2"/>
      <c r="B303" s="131"/>
      <c r="C303" s="131"/>
      <c r="D303" s="131"/>
      <c r="E303" s="131"/>
      <c r="F303" s="131"/>
      <c r="G303" s="133"/>
      <c r="H303" s="132"/>
      <c r="I303" s="133"/>
      <c r="J303" s="133"/>
      <c r="K303" s="137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>
      <c r="A304" s="2"/>
      <c r="B304" s="131"/>
      <c r="C304" s="131"/>
      <c r="D304" s="131"/>
      <c r="E304" s="131"/>
      <c r="F304" s="131"/>
      <c r="G304" s="133"/>
      <c r="H304" s="132"/>
      <c r="I304" s="133"/>
      <c r="J304" s="133"/>
      <c r="K304" s="137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>
      <c r="A305" s="2"/>
      <c r="B305" s="131"/>
      <c r="C305" s="131"/>
      <c r="D305" s="131"/>
      <c r="E305" s="131"/>
      <c r="F305" s="131"/>
      <c r="G305" s="133"/>
      <c r="H305" s="132"/>
      <c r="I305" s="133"/>
      <c r="J305" s="133"/>
      <c r="K305" s="137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>
      <c r="A306" s="2"/>
      <c r="B306" s="131"/>
      <c r="C306" s="131"/>
      <c r="D306" s="131"/>
      <c r="E306" s="131"/>
      <c r="F306" s="131"/>
      <c r="G306" s="133"/>
      <c r="H306" s="132"/>
      <c r="I306" s="133"/>
      <c r="J306" s="133"/>
      <c r="K306" s="137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>
      <c r="A307" s="2"/>
      <c r="B307" s="131"/>
      <c r="C307" s="131"/>
      <c r="D307" s="131"/>
      <c r="E307" s="131"/>
      <c r="F307" s="131"/>
      <c r="G307" s="133"/>
      <c r="H307" s="132"/>
      <c r="I307" s="133"/>
      <c r="J307" s="133"/>
      <c r="K307" s="137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>
      <c r="A308" s="2"/>
      <c r="B308" s="131"/>
      <c r="C308" s="131"/>
      <c r="D308" s="131"/>
      <c r="E308" s="131"/>
      <c r="F308" s="131"/>
      <c r="G308" s="133"/>
      <c r="H308" s="132"/>
      <c r="I308" s="133"/>
      <c r="J308" s="133"/>
      <c r="K308" s="137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>
      <c r="A309" s="2"/>
      <c r="B309" s="131"/>
      <c r="C309" s="131"/>
      <c r="D309" s="131"/>
      <c r="E309" s="131"/>
      <c r="F309" s="131"/>
      <c r="G309" s="133"/>
      <c r="H309" s="132"/>
      <c r="I309" s="133"/>
      <c r="J309" s="133"/>
      <c r="K309" s="137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>
      <c r="A310" s="2"/>
      <c r="B310" s="131"/>
      <c r="C310" s="131"/>
      <c r="D310" s="131"/>
      <c r="E310" s="131"/>
      <c r="F310" s="131"/>
      <c r="G310" s="133"/>
      <c r="H310" s="132"/>
      <c r="I310" s="133"/>
      <c r="J310" s="133"/>
      <c r="K310" s="137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>
      <c r="A311" s="2"/>
      <c r="B311" s="131"/>
      <c r="C311" s="131"/>
      <c r="D311" s="131"/>
      <c r="E311" s="131"/>
      <c r="F311" s="131"/>
      <c r="G311" s="133"/>
      <c r="H311" s="132"/>
      <c r="I311" s="133"/>
      <c r="J311" s="133"/>
      <c r="K311" s="137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>
      <c r="A312" s="2"/>
      <c r="B312" s="131"/>
      <c r="C312" s="131"/>
      <c r="D312" s="131"/>
      <c r="E312" s="131"/>
      <c r="F312" s="131"/>
      <c r="G312" s="133"/>
      <c r="H312" s="132"/>
      <c r="I312" s="133"/>
      <c r="J312" s="133"/>
      <c r="K312" s="137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>
      <c r="A313" s="2"/>
      <c r="B313" s="131"/>
      <c r="C313" s="131"/>
      <c r="D313" s="131"/>
      <c r="E313" s="131"/>
      <c r="F313" s="131"/>
      <c r="G313" s="133"/>
      <c r="H313" s="132"/>
      <c r="I313" s="133"/>
      <c r="J313" s="133"/>
      <c r="K313" s="137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>
      <c r="A314" s="2"/>
      <c r="B314" s="131"/>
      <c r="C314" s="131"/>
      <c r="D314" s="131"/>
      <c r="E314" s="131"/>
      <c r="F314" s="131"/>
      <c r="G314" s="133"/>
      <c r="H314" s="132"/>
      <c r="I314" s="133"/>
      <c r="J314" s="133"/>
      <c r="K314" s="137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>
      <c r="A315" s="2"/>
      <c r="B315" s="131"/>
      <c r="C315" s="131"/>
      <c r="D315" s="131"/>
      <c r="E315" s="131"/>
      <c r="F315" s="131"/>
      <c r="G315" s="133"/>
      <c r="H315" s="132"/>
      <c r="I315" s="133"/>
      <c r="J315" s="133"/>
      <c r="K315" s="137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>
      <c r="A316" s="2"/>
      <c r="B316" s="131"/>
      <c r="C316" s="131"/>
      <c r="D316" s="131"/>
      <c r="E316" s="131"/>
      <c r="F316" s="131"/>
      <c r="G316" s="133"/>
      <c r="H316" s="132"/>
      <c r="I316" s="133"/>
      <c r="J316" s="133"/>
      <c r="K316" s="137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>
      <c r="A317" s="2"/>
      <c r="B317" s="131"/>
      <c r="C317" s="131"/>
      <c r="D317" s="131"/>
      <c r="E317" s="131"/>
      <c r="F317" s="131"/>
      <c r="G317" s="133"/>
      <c r="H317" s="132"/>
      <c r="I317" s="133"/>
      <c r="J317" s="133"/>
      <c r="K317" s="137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>
      <c r="A318" s="2"/>
      <c r="B318" s="131"/>
      <c r="C318" s="131"/>
      <c r="D318" s="131"/>
      <c r="E318" s="131"/>
      <c r="F318" s="131"/>
      <c r="G318" s="133"/>
      <c r="H318" s="132"/>
      <c r="I318" s="133"/>
      <c r="J318" s="133"/>
      <c r="K318" s="137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>
      <c r="A319" s="2"/>
      <c r="B319" s="131"/>
      <c r="C319" s="131"/>
      <c r="D319" s="131"/>
      <c r="E319" s="131"/>
      <c r="F319" s="131"/>
      <c r="G319" s="133"/>
      <c r="H319" s="132"/>
      <c r="I319" s="133"/>
      <c r="J319" s="133"/>
      <c r="K319" s="137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>
      <c r="A320" s="2"/>
      <c r="B320" s="131"/>
      <c r="C320" s="131"/>
      <c r="D320" s="131"/>
      <c r="E320" s="131"/>
      <c r="F320" s="131"/>
      <c r="G320" s="133"/>
      <c r="H320" s="132"/>
      <c r="I320" s="133"/>
      <c r="J320" s="133"/>
      <c r="K320" s="137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>
      <c r="A321" s="2"/>
      <c r="B321" s="131"/>
      <c r="C321" s="131"/>
      <c r="D321" s="131"/>
      <c r="E321" s="131"/>
      <c r="F321" s="131"/>
      <c r="G321" s="133"/>
      <c r="H321" s="132"/>
      <c r="I321" s="133"/>
      <c r="J321" s="133"/>
      <c r="K321" s="137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>
      <c r="A322" s="2"/>
      <c r="B322" s="131"/>
      <c r="C322" s="131"/>
      <c r="D322" s="131"/>
      <c r="E322" s="131"/>
      <c r="F322" s="131"/>
      <c r="G322" s="133"/>
      <c r="H322" s="132"/>
      <c r="I322" s="133"/>
      <c r="J322" s="133"/>
      <c r="K322" s="137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>
      <c r="A323" s="2"/>
      <c r="B323" s="131"/>
      <c r="C323" s="131"/>
      <c r="D323" s="131"/>
      <c r="E323" s="131"/>
      <c r="F323" s="131"/>
      <c r="G323" s="133"/>
      <c r="H323" s="132"/>
      <c r="I323" s="133"/>
      <c r="J323" s="133"/>
      <c r="K323" s="137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>
      <c r="A324" s="2"/>
      <c r="B324" s="131"/>
      <c r="C324" s="131"/>
      <c r="D324" s="131"/>
      <c r="E324" s="131"/>
      <c r="F324" s="131"/>
      <c r="G324" s="133"/>
      <c r="H324" s="132"/>
      <c r="I324" s="133"/>
      <c r="J324" s="133"/>
      <c r="K324" s="137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>
      <c r="A325" s="2"/>
      <c r="B325" s="131"/>
      <c r="C325" s="131"/>
      <c r="D325" s="131"/>
      <c r="E325" s="131"/>
      <c r="F325" s="131"/>
      <c r="G325" s="133"/>
      <c r="H325" s="132"/>
      <c r="I325" s="133"/>
      <c r="J325" s="133"/>
      <c r="K325" s="137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>
      <c r="A326" s="2"/>
      <c r="B326" s="131"/>
      <c r="C326" s="131"/>
      <c r="D326" s="131"/>
      <c r="E326" s="131"/>
      <c r="F326" s="131"/>
      <c r="G326" s="133"/>
      <c r="H326" s="132"/>
      <c r="I326" s="133"/>
      <c r="J326" s="133"/>
      <c r="K326" s="137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>
      <c r="A327" s="2"/>
      <c r="B327" s="131"/>
      <c r="C327" s="131"/>
      <c r="D327" s="131"/>
      <c r="E327" s="131"/>
      <c r="F327" s="131"/>
      <c r="G327" s="133"/>
      <c r="H327" s="132"/>
      <c r="I327" s="133"/>
      <c r="J327" s="133"/>
      <c r="K327" s="137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>
      <c r="A328" s="2"/>
      <c r="B328" s="131"/>
      <c r="C328" s="131"/>
      <c r="D328" s="131"/>
      <c r="E328" s="131"/>
      <c r="F328" s="131"/>
      <c r="G328" s="133"/>
      <c r="H328" s="132"/>
      <c r="I328" s="133"/>
      <c r="J328" s="133"/>
      <c r="K328" s="137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>
      <c r="A329" s="2"/>
      <c r="B329" s="131"/>
      <c r="C329" s="131"/>
      <c r="D329" s="131"/>
      <c r="E329" s="131"/>
      <c r="F329" s="131"/>
      <c r="G329" s="133"/>
      <c r="H329" s="132"/>
      <c r="I329" s="133"/>
      <c r="J329" s="133"/>
      <c r="K329" s="137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>
      <c r="A330" s="2"/>
      <c r="B330" s="131"/>
      <c r="C330" s="131"/>
      <c r="D330" s="131"/>
      <c r="E330" s="131"/>
      <c r="F330" s="131"/>
      <c r="G330" s="133"/>
      <c r="H330" s="132"/>
      <c r="I330" s="133"/>
      <c r="J330" s="133"/>
      <c r="K330" s="137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>
      <c r="A331" s="2"/>
      <c r="B331" s="131"/>
      <c r="C331" s="131"/>
      <c r="D331" s="131"/>
      <c r="E331" s="131"/>
      <c r="F331" s="131"/>
      <c r="G331" s="133"/>
      <c r="H331" s="132"/>
      <c r="I331" s="133"/>
      <c r="J331" s="133"/>
      <c r="K331" s="137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>
      <c r="A332" s="2"/>
      <c r="B332" s="131"/>
      <c r="C332" s="131"/>
      <c r="D332" s="131"/>
      <c r="E332" s="131"/>
      <c r="F332" s="131"/>
      <c r="G332" s="133"/>
      <c r="H332" s="132"/>
      <c r="I332" s="133"/>
      <c r="J332" s="133"/>
      <c r="K332" s="137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>
      <c r="A333" s="2"/>
      <c r="B333" s="131"/>
      <c r="C333" s="131"/>
      <c r="D333" s="131"/>
      <c r="E333" s="131"/>
      <c r="F333" s="131"/>
      <c r="G333" s="133"/>
      <c r="H333" s="132"/>
      <c r="I333" s="133"/>
      <c r="J333" s="133"/>
      <c r="K333" s="137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>
      <c r="A334" s="2"/>
      <c r="B334" s="131"/>
      <c r="C334" s="131"/>
      <c r="D334" s="131"/>
      <c r="E334" s="131"/>
      <c r="F334" s="131"/>
      <c r="G334" s="133"/>
      <c r="H334" s="132"/>
      <c r="I334" s="133"/>
      <c r="J334" s="133"/>
      <c r="K334" s="137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>
      <c r="A335" s="2"/>
      <c r="B335" s="131"/>
      <c r="C335" s="131"/>
      <c r="D335" s="131"/>
      <c r="E335" s="131"/>
      <c r="F335" s="131"/>
      <c r="G335" s="133"/>
      <c r="H335" s="132"/>
      <c r="I335" s="133"/>
      <c r="J335" s="133"/>
      <c r="K335" s="137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>
      <c r="A336" s="2"/>
      <c r="B336" s="131"/>
      <c r="C336" s="131"/>
      <c r="D336" s="131"/>
      <c r="E336" s="131"/>
      <c r="F336" s="131"/>
      <c r="G336" s="133"/>
      <c r="H336" s="132"/>
      <c r="I336" s="133"/>
      <c r="J336" s="133"/>
      <c r="K336" s="137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>
      <c r="A337" s="2"/>
      <c r="B337" s="131"/>
      <c r="C337" s="131"/>
      <c r="D337" s="131"/>
      <c r="E337" s="131"/>
      <c r="F337" s="131"/>
      <c r="G337" s="133"/>
      <c r="H337" s="132"/>
      <c r="I337" s="133"/>
      <c r="J337" s="133"/>
      <c r="K337" s="137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>
      <c r="A338" s="2"/>
      <c r="B338" s="131"/>
      <c r="C338" s="131"/>
      <c r="D338" s="131"/>
      <c r="E338" s="131"/>
      <c r="F338" s="131"/>
      <c r="G338" s="133"/>
      <c r="H338" s="132"/>
      <c r="I338" s="133"/>
      <c r="J338" s="133"/>
      <c r="K338" s="137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>
      <c r="A339" s="2"/>
      <c r="B339" s="131"/>
      <c r="C339" s="131"/>
      <c r="D339" s="131"/>
      <c r="E339" s="131"/>
      <c r="F339" s="131"/>
      <c r="G339" s="133"/>
      <c r="H339" s="132"/>
      <c r="I339" s="133"/>
      <c r="J339" s="133"/>
      <c r="K339" s="137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>
      <c r="A340" s="2"/>
      <c r="B340" s="131"/>
      <c r="C340" s="131"/>
      <c r="D340" s="131"/>
      <c r="E340" s="131"/>
      <c r="F340" s="131"/>
      <c r="G340" s="133"/>
      <c r="H340" s="132"/>
      <c r="I340" s="133"/>
      <c r="J340" s="133"/>
      <c r="K340" s="137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>
      <c r="A341" s="2"/>
      <c r="B341" s="131"/>
      <c r="C341" s="131"/>
      <c r="D341" s="131"/>
      <c r="E341" s="131"/>
      <c r="F341" s="131"/>
      <c r="G341" s="133"/>
      <c r="H341" s="132"/>
      <c r="I341" s="133"/>
      <c r="J341" s="133"/>
      <c r="K341" s="137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>
      <c r="A342" s="2"/>
      <c r="B342" s="131"/>
      <c r="C342" s="131"/>
      <c r="D342" s="131"/>
      <c r="E342" s="131"/>
      <c r="F342" s="131"/>
      <c r="G342" s="133"/>
      <c r="H342" s="132"/>
      <c r="I342" s="133"/>
      <c r="J342" s="133"/>
      <c r="K342" s="137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>
      <c r="A343" s="2"/>
      <c r="B343" s="131"/>
      <c r="C343" s="131"/>
      <c r="D343" s="131"/>
      <c r="E343" s="131"/>
      <c r="F343" s="131"/>
      <c r="G343" s="133"/>
      <c r="H343" s="132"/>
      <c r="I343" s="133"/>
      <c r="J343" s="133"/>
      <c r="K343" s="137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>
      <c r="A344" s="2"/>
      <c r="B344" s="131"/>
      <c r="C344" s="131"/>
      <c r="D344" s="131"/>
      <c r="E344" s="131"/>
      <c r="F344" s="131"/>
      <c r="G344" s="133"/>
      <c r="H344" s="132"/>
      <c r="I344" s="133"/>
      <c r="J344" s="133"/>
      <c r="K344" s="137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>
      <c r="A345" s="2"/>
      <c r="B345" s="131"/>
      <c r="C345" s="131"/>
      <c r="D345" s="131"/>
      <c r="E345" s="131"/>
      <c r="F345" s="131"/>
      <c r="G345" s="133"/>
      <c r="H345" s="132"/>
      <c r="I345" s="133"/>
      <c r="J345" s="133"/>
      <c r="K345" s="137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>
      <c r="A346" s="2"/>
      <c r="B346" s="131"/>
      <c r="C346" s="131"/>
      <c r="D346" s="131"/>
      <c r="E346" s="131"/>
      <c r="F346" s="131"/>
      <c r="G346" s="133"/>
      <c r="H346" s="132"/>
      <c r="I346" s="133"/>
      <c r="J346" s="133"/>
      <c r="K346" s="137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>
      <c r="A347" s="2"/>
      <c r="B347" s="131"/>
      <c r="C347" s="131"/>
      <c r="D347" s="131"/>
      <c r="E347" s="131"/>
      <c r="F347" s="131"/>
      <c r="G347" s="133"/>
      <c r="H347" s="132"/>
      <c r="I347" s="133"/>
      <c r="J347" s="133"/>
      <c r="K347" s="137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>
      <c r="A348" s="2"/>
      <c r="B348" s="131"/>
      <c r="C348" s="131"/>
      <c r="D348" s="131"/>
      <c r="E348" s="131"/>
      <c r="F348" s="131"/>
      <c r="G348" s="133"/>
      <c r="H348" s="132"/>
      <c r="I348" s="133"/>
      <c r="J348" s="133"/>
      <c r="K348" s="137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>
      <c r="A349" s="2"/>
      <c r="B349" s="131"/>
      <c r="C349" s="131"/>
      <c r="D349" s="131"/>
      <c r="E349" s="131"/>
      <c r="F349" s="131"/>
      <c r="G349" s="133"/>
      <c r="H349" s="132"/>
      <c r="I349" s="133"/>
      <c r="J349" s="133"/>
      <c r="K349" s="137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>
      <c r="A350" s="2"/>
      <c r="B350" s="131"/>
      <c r="C350" s="131"/>
      <c r="D350" s="131"/>
      <c r="E350" s="131"/>
      <c r="F350" s="131"/>
      <c r="G350" s="133"/>
      <c r="H350" s="132"/>
      <c r="I350" s="133"/>
      <c r="J350" s="133"/>
      <c r="K350" s="137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>
      <c r="A351" s="2"/>
      <c r="B351" s="131"/>
      <c r="C351" s="131"/>
      <c r="D351" s="131"/>
      <c r="E351" s="131"/>
      <c r="F351" s="131"/>
      <c r="G351" s="133"/>
      <c r="H351" s="132"/>
      <c r="I351" s="133"/>
      <c r="J351" s="133"/>
      <c r="K351" s="137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>
      <c r="A352" s="2"/>
      <c r="B352" s="131"/>
      <c r="C352" s="131"/>
      <c r="D352" s="131"/>
      <c r="E352" s="131"/>
      <c r="F352" s="131"/>
      <c r="G352" s="133"/>
      <c r="H352" s="132"/>
      <c r="I352" s="133"/>
      <c r="J352" s="133"/>
      <c r="K352" s="137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>
      <c r="A353" s="2"/>
      <c r="B353" s="131"/>
      <c r="C353" s="131"/>
      <c r="D353" s="131"/>
      <c r="E353" s="131"/>
      <c r="F353" s="131"/>
      <c r="G353" s="133"/>
      <c r="H353" s="132"/>
      <c r="I353" s="133"/>
      <c r="J353" s="133"/>
      <c r="K353" s="137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>
      <c r="A354" s="2"/>
      <c r="B354" s="131"/>
      <c r="C354" s="131"/>
      <c r="D354" s="131"/>
      <c r="E354" s="131"/>
      <c r="F354" s="131"/>
      <c r="G354" s="133"/>
      <c r="H354" s="132"/>
      <c r="I354" s="133"/>
      <c r="J354" s="133"/>
      <c r="K354" s="137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>
      <c r="A355" s="2"/>
      <c r="B355" s="131"/>
      <c r="C355" s="131"/>
      <c r="D355" s="131"/>
      <c r="E355" s="131"/>
      <c r="F355" s="131"/>
      <c r="G355" s="133"/>
      <c r="H355" s="132"/>
      <c r="I355" s="133"/>
      <c r="J355" s="133"/>
      <c r="K355" s="137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>
      <c r="A356" s="2"/>
      <c r="B356" s="131"/>
      <c r="C356" s="131"/>
      <c r="D356" s="131"/>
      <c r="E356" s="131"/>
      <c r="F356" s="131"/>
      <c r="G356" s="133"/>
      <c r="H356" s="132"/>
      <c r="I356" s="133"/>
      <c r="J356" s="133"/>
      <c r="K356" s="137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>
      <c r="A357" s="2"/>
      <c r="B357" s="131"/>
      <c r="C357" s="131"/>
      <c r="D357" s="131"/>
      <c r="E357" s="131"/>
      <c r="F357" s="131"/>
      <c r="G357" s="133"/>
      <c r="H357" s="132"/>
      <c r="I357" s="133"/>
      <c r="J357" s="133"/>
      <c r="K357" s="137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>
      <c r="A358" s="2"/>
      <c r="B358" s="131"/>
      <c r="C358" s="131"/>
      <c r="D358" s="131"/>
      <c r="E358" s="131"/>
      <c r="F358" s="131"/>
      <c r="G358" s="133"/>
      <c r="H358" s="132"/>
      <c r="I358" s="133"/>
      <c r="J358" s="133"/>
      <c r="K358" s="137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>
      <c r="A359" s="2"/>
      <c r="B359" s="131"/>
      <c r="C359" s="131"/>
      <c r="D359" s="131"/>
      <c r="E359" s="131"/>
      <c r="F359" s="131"/>
      <c r="G359" s="133"/>
      <c r="H359" s="132"/>
      <c r="I359" s="133"/>
      <c r="J359" s="133"/>
      <c r="K359" s="137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>
      <c r="A360" s="2"/>
      <c r="B360" s="131"/>
      <c r="C360" s="131"/>
      <c r="D360" s="131"/>
      <c r="E360" s="131"/>
      <c r="F360" s="131"/>
      <c r="G360" s="133"/>
      <c r="H360" s="132"/>
      <c r="I360" s="133"/>
      <c r="J360" s="133"/>
      <c r="K360" s="137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>
      <c r="A361" s="2"/>
      <c r="B361" s="131"/>
      <c r="C361" s="131"/>
      <c r="D361" s="131"/>
      <c r="E361" s="131"/>
      <c r="F361" s="131"/>
      <c r="G361" s="133"/>
      <c r="H361" s="132"/>
      <c r="I361" s="133"/>
      <c r="J361" s="133"/>
      <c r="K361" s="137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>
      <c r="A362" s="2"/>
      <c r="B362" s="131"/>
      <c r="C362" s="131"/>
      <c r="D362" s="131"/>
      <c r="E362" s="131"/>
      <c r="F362" s="131"/>
      <c r="G362" s="133"/>
      <c r="H362" s="132"/>
      <c r="I362" s="133"/>
      <c r="J362" s="133"/>
      <c r="K362" s="137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>
      <c r="A363" s="2"/>
      <c r="B363" s="131"/>
      <c r="C363" s="131"/>
      <c r="D363" s="131"/>
      <c r="E363" s="131"/>
      <c r="F363" s="131"/>
      <c r="G363" s="133"/>
      <c r="H363" s="132"/>
      <c r="I363" s="133"/>
      <c r="J363" s="133"/>
      <c r="K363" s="137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>
      <c r="A364" s="2"/>
      <c r="B364" s="131"/>
      <c r="C364" s="131"/>
      <c r="D364" s="131"/>
      <c r="E364" s="131"/>
      <c r="F364" s="131"/>
      <c r="G364" s="133"/>
      <c r="H364" s="132"/>
      <c r="I364" s="133"/>
      <c r="J364" s="133"/>
      <c r="K364" s="137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>
      <c r="A365" s="2"/>
      <c r="B365" s="131"/>
      <c r="C365" s="131"/>
      <c r="D365" s="131"/>
      <c r="E365" s="131"/>
      <c r="F365" s="131"/>
      <c r="G365" s="133"/>
      <c r="H365" s="132"/>
      <c r="I365" s="133"/>
      <c r="J365" s="133"/>
      <c r="K365" s="137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>
      <c r="A366" s="2"/>
      <c r="B366" s="131"/>
      <c r="C366" s="131"/>
      <c r="D366" s="131"/>
      <c r="E366" s="131"/>
      <c r="F366" s="131"/>
      <c r="G366" s="133"/>
      <c r="H366" s="132"/>
      <c r="I366" s="133"/>
      <c r="J366" s="133"/>
      <c r="K366" s="137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>
      <c r="A367" s="2"/>
      <c r="B367" s="131"/>
      <c r="C367" s="131"/>
      <c r="D367" s="131"/>
      <c r="E367" s="131"/>
      <c r="F367" s="131"/>
      <c r="G367" s="133"/>
      <c r="H367" s="132"/>
      <c r="I367" s="133"/>
      <c r="J367" s="133"/>
      <c r="K367" s="137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>
      <c r="A368" s="2"/>
      <c r="B368" s="131"/>
      <c r="C368" s="131"/>
      <c r="D368" s="131"/>
      <c r="E368" s="131"/>
      <c r="F368" s="131"/>
      <c r="G368" s="133"/>
      <c r="H368" s="132"/>
      <c r="I368" s="133"/>
      <c r="J368" s="133"/>
      <c r="K368" s="137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>
      <c r="A369" s="2"/>
      <c r="B369" s="131"/>
      <c r="C369" s="131"/>
      <c r="D369" s="131"/>
      <c r="E369" s="131"/>
      <c r="F369" s="131"/>
      <c r="G369" s="133"/>
      <c r="H369" s="132"/>
      <c r="I369" s="133"/>
      <c r="J369" s="133"/>
      <c r="K369" s="137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>
      <c r="A370" s="2"/>
      <c r="B370" s="131"/>
      <c r="C370" s="131"/>
      <c r="D370" s="131"/>
      <c r="E370" s="131"/>
      <c r="F370" s="131"/>
      <c r="G370" s="133"/>
      <c r="H370" s="132"/>
      <c r="I370" s="133"/>
      <c r="J370" s="133"/>
      <c r="K370" s="137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>
      <c r="A371" s="2"/>
      <c r="B371" s="131"/>
      <c r="C371" s="131"/>
      <c r="D371" s="131"/>
      <c r="E371" s="131"/>
      <c r="F371" s="131"/>
      <c r="G371" s="133"/>
      <c r="H371" s="132"/>
      <c r="I371" s="133"/>
      <c r="J371" s="133"/>
      <c r="K371" s="137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>
      <c r="A372" s="2"/>
      <c r="B372" s="131"/>
      <c r="C372" s="131"/>
      <c r="D372" s="131"/>
      <c r="E372" s="131"/>
      <c r="F372" s="131"/>
      <c r="G372" s="133"/>
      <c r="H372" s="132"/>
      <c r="I372" s="133"/>
      <c r="J372" s="133"/>
      <c r="K372" s="137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>
      <c r="A373" s="2"/>
      <c r="B373" s="131"/>
      <c r="C373" s="131"/>
      <c r="D373" s="131"/>
      <c r="E373" s="131"/>
      <c r="F373" s="131"/>
      <c r="G373" s="133"/>
      <c r="H373" s="132"/>
      <c r="I373" s="133"/>
      <c r="J373" s="133"/>
      <c r="K373" s="137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>
      <c r="A374" s="2"/>
      <c r="B374" s="131"/>
      <c r="C374" s="131"/>
      <c r="D374" s="131"/>
      <c r="E374" s="131"/>
      <c r="F374" s="131"/>
      <c r="G374" s="133"/>
      <c r="H374" s="132"/>
      <c r="I374" s="133"/>
      <c r="J374" s="133"/>
      <c r="K374" s="137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>
      <c r="A375" s="2"/>
      <c r="B375" s="131"/>
      <c r="C375" s="131"/>
      <c r="D375" s="131"/>
      <c r="E375" s="131"/>
      <c r="F375" s="131"/>
      <c r="G375" s="133"/>
      <c r="H375" s="132"/>
      <c r="I375" s="133"/>
      <c r="J375" s="133"/>
      <c r="K375" s="137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>
      <c r="A376" s="2"/>
      <c r="B376" s="131"/>
      <c r="C376" s="131"/>
      <c r="D376" s="131"/>
      <c r="E376" s="131"/>
      <c r="F376" s="131"/>
      <c r="G376" s="133"/>
      <c r="H376" s="132"/>
      <c r="I376" s="133"/>
      <c r="J376" s="133"/>
      <c r="K376" s="137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>
      <c r="A377" s="2"/>
      <c r="B377" s="131"/>
      <c r="C377" s="131"/>
      <c r="D377" s="131"/>
      <c r="E377" s="131"/>
      <c r="F377" s="131"/>
      <c r="G377" s="133"/>
      <c r="H377" s="132"/>
      <c r="I377" s="133"/>
      <c r="J377" s="133"/>
      <c r="K377" s="137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>
      <c r="A378" s="2"/>
      <c r="B378" s="131"/>
      <c r="C378" s="131"/>
      <c r="D378" s="131"/>
      <c r="E378" s="131"/>
      <c r="F378" s="131"/>
      <c r="G378" s="133"/>
      <c r="H378" s="132"/>
      <c r="I378" s="133"/>
      <c r="J378" s="133"/>
      <c r="K378" s="137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>
      <c r="A379" s="2"/>
      <c r="B379" s="131"/>
      <c r="C379" s="131"/>
      <c r="D379" s="131"/>
      <c r="E379" s="131"/>
      <c r="F379" s="131"/>
      <c r="G379" s="133"/>
      <c r="H379" s="132"/>
      <c r="I379" s="133"/>
      <c r="J379" s="133"/>
      <c r="K379" s="137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>
      <c r="A380" s="2"/>
      <c r="B380" s="131"/>
      <c r="C380" s="131"/>
      <c r="D380" s="131"/>
      <c r="E380" s="131"/>
      <c r="F380" s="131"/>
      <c r="G380" s="133"/>
      <c r="H380" s="132"/>
      <c r="I380" s="133"/>
      <c r="J380" s="133"/>
      <c r="K380" s="137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>
      <c r="A381" s="2"/>
      <c r="B381" s="131"/>
      <c r="C381" s="131"/>
      <c r="D381" s="131"/>
      <c r="E381" s="131"/>
      <c r="F381" s="131"/>
      <c r="G381" s="133"/>
      <c r="H381" s="132"/>
      <c r="I381" s="133"/>
      <c r="J381" s="133"/>
      <c r="K381" s="137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>
      <c r="A382" s="2"/>
      <c r="B382" s="131"/>
      <c r="C382" s="131"/>
      <c r="D382" s="131"/>
      <c r="E382" s="131"/>
      <c r="F382" s="131"/>
      <c r="G382" s="133"/>
      <c r="H382" s="132"/>
      <c r="I382" s="133"/>
      <c r="J382" s="133"/>
      <c r="K382" s="137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>
      <c r="A383" s="2"/>
      <c r="B383" s="131"/>
      <c r="C383" s="131"/>
      <c r="D383" s="131"/>
      <c r="E383" s="131"/>
      <c r="F383" s="131"/>
      <c r="G383" s="133"/>
      <c r="H383" s="132"/>
      <c r="I383" s="133"/>
      <c r="J383" s="133"/>
      <c r="K383" s="137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>
      <c r="A384" s="2"/>
      <c r="B384" s="131"/>
      <c r="C384" s="131"/>
      <c r="D384" s="131"/>
      <c r="E384" s="131"/>
      <c r="F384" s="131"/>
      <c r="G384" s="133"/>
      <c r="H384" s="132"/>
      <c r="I384" s="133"/>
      <c r="J384" s="133"/>
      <c r="K384" s="137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>
      <c r="A385" s="2"/>
      <c r="B385" s="131"/>
      <c r="C385" s="131"/>
      <c r="D385" s="131"/>
      <c r="E385" s="131"/>
      <c r="F385" s="131"/>
      <c r="G385" s="133"/>
      <c r="H385" s="132"/>
      <c r="I385" s="133"/>
      <c r="J385" s="133"/>
      <c r="K385" s="137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>
      <c r="A386" s="2"/>
      <c r="B386" s="131"/>
      <c r="C386" s="131"/>
      <c r="D386" s="131"/>
      <c r="E386" s="131"/>
      <c r="F386" s="131"/>
      <c r="G386" s="133"/>
      <c r="H386" s="132"/>
      <c r="I386" s="133"/>
      <c r="J386" s="133"/>
      <c r="K386" s="137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>
      <c r="A387" s="2"/>
      <c r="B387" s="131"/>
      <c r="C387" s="131"/>
      <c r="D387" s="131"/>
      <c r="E387" s="131"/>
      <c r="F387" s="131"/>
      <c r="G387" s="133"/>
      <c r="H387" s="132"/>
      <c r="I387" s="133"/>
      <c r="J387" s="133"/>
      <c r="K387" s="137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>
      <c r="A388" s="2"/>
      <c r="B388" s="131"/>
      <c r="C388" s="131"/>
      <c r="D388" s="131"/>
      <c r="E388" s="131"/>
      <c r="F388" s="131"/>
      <c r="G388" s="133"/>
      <c r="H388" s="132"/>
      <c r="I388" s="133"/>
      <c r="J388" s="133"/>
      <c r="K388" s="137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>
      <c r="A389" s="2"/>
      <c r="B389" s="131"/>
      <c r="C389" s="131"/>
      <c r="D389" s="131"/>
      <c r="E389" s="131"/>
      <c r="F389" s="131"/>
      <c r="G389" s="133"/>
      <c r="H389" s="132"/>
      <c r="I389" s="133"/>
      <c r="J389" s="133"/>
      <c r="K389" s="137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>
      <c r="A390" s="2"/>
      <c r="B390" s="131"/>
      <c r="C390" s="131"/>
      <c r="D390" s="131"/>
      <c r="E390" s="131"/>
      <c r="F390" s="131"/>
      <c r="G390" s="133"/>
      <c r="H390" s="132"/>
      <c r="I390" s="133"/>
      <c r="J390" s="133"/>
      <c r="K390" s="137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>
      <c r="A391" s="2"/>
      <c r="B391" s="131"/>
      <c r="C391" s="131"/>
      <c r="D391" s="131"/>
      <c r="E391" s="131"/>
      <c r="F391" s="131"/>
      <c r="G391" s="133"/>
      <c r="H391" s="132"/>
      <c r="I391" s="133"/>
      <c r="J391" s="133"/>
      <c r="K391" s="137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>
      <c r="A392" s="2"/>
      <c r="B392" s="131"/>
      <c r="C392" s="131"/>
      <c r="D392" s="131"/>
      <c r="E392" s="131"/>
      <c r="F392" s="131"/>
      <c r="G392" s="133"/>
      <c r="H392" s="132"/>
      <c r="I392" s="133"/>
      <c r="J392" s="133"/>
      <c r="K392" s="137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>
      <c r="A393" s="2"/>
      <c r="B393" s="131"/>
      <c r="C393" s="131"/>
      <c r="D393" s="131"/>
      <c r="E393" s="131"/>
      <c r="F393" s="131"/>
      <c r="G393" s="133"/>
      <c r="H393" s="132"/>
      <c r="I393" s="133"/>
      <c r="J393" s="133"/>
      <c r="K393" s="137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>
      <c r="A394" s="2"/>
      <c r="B394" s="131"/>
      <c r="C394" s="131"/>
      <c r="D394" s="131"/>
      <c r="E394" s="131"/>
      <c r="F394" s="131"/>
      <c r="G394" s="133"/>
      <c r="H394" s="132"/>
      <c r="I394" s="133"/>
      <c r="J394" s="133"/>
      <c r="K394" s="137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>
      <c r="A395" s="2"/>
      <c r="B395" s="131"/>
      <c r="C395" s="131"/>
      <c r="D395" s="131"/>
      <c r="E395" s="131"/>
      <c r="F395" s="131"/>
      <c r="G395" s="133"/>
      <c r="H395" s="132"/>
      <c r="I395" s="133"/>
      <c r="J395" s="133"/>
      <c r="K395" s="137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>
      <c r="A396" s="2"/>
      <c r="B396" s="131"/>
      <c r="C396" s="131"/>
      <c r="D396" s="131"/>
      <c r="E396" s="131"/>
      <c r="F396" s="131"/>
      <c r="G396" s="133"/>
      <c r="H396" s="132"/>
      <c r="I396" s="133"/>
      <c r="J396" s="133"/>
      <c r="K396" s="137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>
      <c r="A397" s="2"/>
      <c r="B397" s="131"/>
      <c r="C397" s="131"/>
      <c r="D397" s="131"/>
      <c r="E397" s="131"/>
      <c r="F397" s="131"/>
      <c r="G397" s="133"/>
      <c r="H397" s="132"/>
      <c r="I397" s="133"/>
      <c r="J397" s="133"/>
      <c r="K397" s="137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>
      <c r="A398" s="2"/>
      <c r="B398" s="131"/>
      <c r="C398" s="131"/>
      <c r="D398" s="131"/>
      <c r="E398" s="131"/>
      <c r="F398" s="131"/>
      <c r="G398" s="133"/>
      <c r="H398" s="132"/>
      <c r="I398" s="133"/>
      <c r="J398" s="133"/>
      <c r="K398" s="137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>
      <c r="A399" s="2"/>
      <c r="B399" s="131"/>
      <c r="C399" s="131"/>
      <c r="D399" s="131"/>
      <c r="E399" s="131"/>
      <c r="F399" s="131"/>
      <c r="G399" s="133"/>
      <c r="H399" s="132"/>
      <c r="I399" s="133"/>
      <c r="J399" s="133"/>
      <c r="K399" s="137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>
      <c r="A400" s="2"/>
      <c r="B400" s="131"/>
      <c r="C400" s="131"/>
      <c r="D400" s="131"/>
      <c r="E400" s="131"/>
      <c r="F400" s="131"/>
      <c r="G400" s="133"/>
      <c r="H400" s="132"/>
      <c r="I400" s="133"/>
      <c r="J400" s="133"/>
      <c r="K400" s="137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>
      <c r="A401" s="2"/>
      <c r="B401" s="131"/>
      <c r="C401" s="131"/>
      <c r="D401" s="131"/>
      <c r="E401" s="131"/>
      <c r="F401" s="131"/>
      <c r="G401" s="133"/>
      <c r="H401" s="132"/>
      <c r="I401" s="133"/>
      <c r="J401" s="133"/>
      <c r="K401" s="137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>
      <c r="A402" s="2"/>
      <c r="B402" s="131"/>
      <c r="C402" s="131"/>
      <c r="D402" s="131"/>
      <c r="E402" s="131"/>
      <c r="F402" s="131"/>
      <c r="G402" s="133"/>
      <c r="H402" s="132"/>
      <c r="I402" s="133"/>
      <c r="J402" s="133"/>
      <c r="K402" s="137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>
      <c r="A403" s="2"/>
      <c r="B403" s="131"/>
      <c r="C403" s="131"/>
      <c r="D403" s="131"/>
      <c r="E403" s="131"/>
      <c r="F403" s="131"/>
      <c r="G403" s="133"/>
      <c r="H403" s="132"/>
      <c r="I403" s="133"/>
      <c r="J403" s="133"/>
      <c r="K403" s="137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>
      <c r="A404" s="2"/>
      <c r="B404" s="131"/>
      <c r="C404" s="131"/>
      <c r="D404" s="131"/>
      <c r="E404" s="131"/>
      <c r="F404" s="131"/>
      <c r="G404" s="133"/>
      <c r="H404" s="132"/>
      <c r="I404" s="133"/>
      <c r="J404" s="133"/>
      <c r="K404" s="137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>
      <c r="A405" s="2"/>
      <c r="B405" s="131"/>
      <c r="C405" s="131"/>
      <c r="D405" s="131"/>
      <c r="E405" s="131"/>
      <c r="F405" s="131"/>
      <c r="G405" s="133"/>
      <c r="H405" s="132"/>
      <c r="I405" s="133"/>
      <c r="J405" s="133"/>
      <c r="K405" s="137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>
      <c r="A406" s="2"/>
      <c r="B406" s="131"/>
      <c r="C406" s="131"/>
      <c r="D406" s="131"/>
      <c r="E406" s="131"/>
      <c r="F406" s="131"/>
      <c r="G406" s="133"/>
      <c r="H406" s="132"/>
      <c r="I406" s="133"/>
      <c r="J406" s="133"/>
      <c r="K406" s="137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>
      <c r="A407" s="2"/>
      <c r="B407" s="131"/>
      <c r="C407" s="131"/>
      <c r="D407" s="131"/>
      <c r="E407" s="131"/>
      <c r="F407" s="131"/>
      <c r="G407" s="133"/>
      <c r="H407" s="132"/>
      <c r="I407" s="133"/>
      <c r="J407" s="133"/>
      <c r="K407" s="137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>
      <c r="A408" s="2"/>
      <c r="B408" s="131"/>
      <c r="C408" s="131"/>
      <c r="D408" s="131"/>
      <c r="E408" s="131"/>
      <c r="F408" s="131"/>
      <c r="G408" s="133"/>
      <c r="H408" s="132"/>
      <c r="I408" s="133"/>
      <c r="J408" s="133"/>
      <c r="K408" s="137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>
      <c r="A409" s="2"/>
      <c r="B409" s="131"/>
      <c r="C409" s="131"/>
      <c r="D409" s="131"/>
      <c r="E409" s="131"/>
      <c r="F409" s="131"/>
      <c r="G409" s="133"/>
      <c r="H409" s="132"/>
      <c r="I409" s="133"/>
      <c r="J409" s="133"/>
      <c r="K409" s="137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>
      <c r="A410" s="2"/>
      <c r="B410" s="131"/>
      <c r="C410" s="131"/>
      <c r="D410" s="131"/>
      <c r="E410" s="131"/>
      <c r="F410" s="131"/>
      <c r="G410" s="133"/>
      <c r="H410" s="132"/>
      <c r="I410" s="133"/>
      <c r="J410" s="133"/>
      <c r="K410" s="137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>
      <c r="A411" s="2"/>
      <c r="B411" s="131"/>
      <c r="C411" s="131"/>
      <c r="D411" s="131"/>
      <c r="E411" s="131"/>
      <c r="F411" s="131"/>
      <c r="G411" s="133"/>
      <c r="H411" s="132"/>
      <c r="I411" s="133"/>
      <c r="J411" s="133"/>
      <c r="K411" s="137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>
      <c r="A412" s="2"/>
      <c r="B412" s="131"/>
      <c r="C412" s="131"/>
      <c r="D412" s="131"/>
      <c r="E412" s="131"/>
      <c r="F412" s="131"/>
      <c r="G412" s="133"/>
      <c r="H412" s="132"/>
      <c r="I412" s="133"/>
      <c r="J412" s="133"/>
      <c r="K412" s="137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>
      <c r="A413" s="2"/>
      <c r="B413" s="131"/>
      <c r="C413" s="131"/>
      <c r="D413" s="131"/>
      <c r="E413" s="131"/>
      <c r="F413" s="131"/>
      <c r="G413" s="133"/>
      <c r="H413" s="132"/>
      <c r="I413" s="133"/>
      <c r="J413" s="133"/>
      <c r="K413" s="137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>
      <c r="A414" s="2"/>
      <c r="B414" s="131"/>
      <c r="C414" s="131"/>
      <c r="D414" s="131"/>
      <c r="E414" s="131"/>
      <c r="F414" s="131"/>
      <c r="G414" s="133"/>
      <c r="H414" s="132"/>
      <c r="I414" s="133"/>
      <c r="J414" s="133"/>
      <c r="K414" s="137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>
      <c r="A415" s="2"/>
      <c r="B415" s="131"/>
      <c r="C415" s="131"/>
      <c r="D415" s="131"/>
      <c r="E415" s="131"/>
      <c r="F415" s="131"/>
      <c r="G415" s="133"/>
      <c r="H415" s="132"/>
      <c r="I415" s="133"/>
      <c r="J415" s="133"/>
      <c r="K415" s="137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>
      <c r="A416" s="2"/>
      <c r="B416" s="131"/>
      <c r="C416" s="131"/>
      <c r="D416" s="131"/>
      <c r="E416" s="131"/>
      <c r="F416" s="131"/>
      <c r="G416" s="133"/>
      <c r="H416" s="132"/>
      <c r="I416" s="133"/>
      <c r="J416" s="133"/>
      <c r="K416" s="137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>
      <c r="A417" s="2"/>
      <c r="B417" s="131"/>
      <c r="C417" s="131"/>
      <c r="D417" s="131"/>
      <c r="E417" s="131"/>
      <c r="F417" s="131"/>
      <c r="G417" s="133"/>
      <c r="H417" s="132"/>
      <c r="I417" s="133"/>
      <c r="J417" s="133"/>
      <c r="K417" s="137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>
      <c r="A418" s="2"/>
      <c r="B418" s="131"/>
      <c r="C418" s="131"/>
      <c r="D418" s="131"/>
      <c r="E418" s="131"/>
      <c r="F418" s="131"/>
      <c r="G418" s="133"/>
      <c r="H418" s="132"/>
      <c r="I418" s="133"/>
      <c r="J418" s="133"/>
      <c r="K418" s="137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>
      <c r="A419" s="2"/>
      <c r="B419" s="131"/>
      <c r="C419" s="131"/>
      <c r="D419" s="131"/>
      <c r="E419" s="131"/>
      <c r="F419" s="131"/>
      <c r="G419" s="133"/>
      <c r="H419" s="132"/>
      <c r="I419" s="133"/>
      <c r="J419" s="133"/>
      <c r="K419" s="137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>
      <c r="A420" s="2"/>
      <c r="B420" s="131"/>
      <c r="C420" s="131"/>
      <c r="D420" s="131"/>
      <c r="E420" s="131"/>
      <c r="F420" s="131"/>
      <c r="G420" s="133"/>
      <c r="H420" s="132"/>
      <c r="I420" s="133"/>
      <c r="J420" s="133"/>
      <c r="K420" s="137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>
      <c r="A421" s="2"/>
      <c r="B421" s="131"/>
      <c r="C421" s="131"/>
      <c r="D421" s="131"/>
      <c r="E421" s="131"/>
      <c r="F421" s="131"/>
      <c r="G421" s="133"/>
      <c r="H421" s="132"/>
      <c r="I421" s="133"/>
      <c r="J421" s="133"/>
      <c r="K421" s="137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>
      <c r="A422" s="2"/>
      <c r="B422" s="131"/>
      <c r="C422" s="131"/>
      <c r="D422" s="131"/>
      <c r="E422" s="131"/>
      <c r="F422" s="131"/>
      <c r="G422" s="133"/>
      <c r="H422" s="132"/>
      <c r="I422" s="133"/>
      <c r="J422" s="133"/>
      <c r="K422" s="137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>
      <c r="A423" s="2"/>
      <c r="B423" s="131"/>
      <c r="C423" s="131"/>
      <c r="D423" s="131"/>
      <c r="E423" s="131"/>
      <c r="F423" s="131"/>
      <c r="G423" s="133"/>
      <c r="H423" s="132"/>
      <c r="I423" s="133"/>
      <c r="J423" s="133"/>
      <c r="K423" s="137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>
      <c r="A424" s="2"/>
      <c r="B424" s="131"/>
      <c r="C424" s="131"/>
      <c r="D424" s="131"/>
      <c r="E424" s="131"/>
      <c r="F424" s="131"/>
      <c r="G424" s="133"/>
      <c r="H424" s="132"/>
      <c r="I424" s="133"/>
      <c r="J424" s="133"/>
      <c r="K424" s="137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>
      <c r="A425" s="2"/>
      <c r="B425" s="131"/>
      <c r="C425" s="131"/>
      <c r="D425" s="131"/>
      <c r="E425" s="131"/>
      <c r="F425" s="131"/>
      <c r="G425" s="133"/>
      <c r="H425" s="132"/>
      <c r="I425" s="133"/>
      <c r="J425" s="133"/>
      <c r="K425" s="137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>
      <c r="A426" s="2"/>
      <c r="B426" s="131"/>
      <c r="C426" s="131"/>
      <c r="D426" s="131"/>
      <c r="E426" s="131"/>
      <c r="F426" s="131"/>
      <c r="G426" s="133"/>
      <c r="H426" s="132"/>
      <c r="I426" s="133"/>
      <c r="J426" s="133"/>
      <c r="K426" s="137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>
      <c r="A427" s="2"/>
      <c r="B427" s="131"/>
      <c r="C427" s="131"/>
      <c r="D427" s="131"/>
      <c r="E427" s="131"/>
      <c r="F427" s="131"/>
      <c r="G427" s="133"/>
      <c r="H427" s="132"/>
      <c r="I427" s="133"/>
      <c r="J427" s="133"/>
      <c r="K427" s="137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>
      <c r="A428" s="2"/>
      <c r="B428" s="131"/>
      <c r="C428" s="131"/>
      <c r="D428" s="131"/>
      <c r="E428" s="131"/>
      <c r="F428" s="131"/>
      <c r="G428" s="133"/>
      <c r="H428" s="132"/>
      <c r="I428" s="133"/>
      <c r="J428" s="133"/>
      <c r="K428" s="137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>
      <c r="A429" s="2"/>
      <c r="B429" s="131"/>
      <c r="C429" s="131"/>
      <c r="D429" s="131"/>
      <c r="E429" s="131"/>
      <c r="F429" s="131"/>
      <c r="G429" s="133"/>
      <c r="H429" s="132"/>
      <c r="I429" s="133"/>
      <c r="J429" s="133"/>
      <c r="K429" s="137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>
      <c r="A430" s="2"/>
      <c r="B430" s="131"/>
      <c r="C430" s="131"/>
      <c r="D430" s="131"/>
      <c r="E430" s="131"/>
      <c r="F430" s="131"/>
      <c r="G430" s="133"/>
      <c r="H430" s="132"/>
      <c r="I430" s="133"/>
      <c r="J430" s="133"/>
      <c r="K430" s="137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>
      <c r="A431" s="2"/>
      <c r="B431" s="131"/>
      <c r="C431" s="131"/>
      <c r="D431" s="131"/>
      <c r="E431" s="131"/>
      <c r="F431" s="131"/>
      <c r="G431" s="133"/>
      <c r="H431" s="132"/>
      <c r="I431" s="133"/>
      <c r="J431" s="133"/>
      <c r="K431" s="137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>
      <c r="A432" s="2"/>
      <c r="B432" s="131"/>
      <c r="C432" s="131"/>
      <c r="D432" s="131"/>
      <c r="E432" s="131"/>
      <c r="F432" s="131"/>
      <c r="G432" s="133"/>
      <c r="H432" s="132"/>
      <c r="I432" s="133"/>
      <c r="J432" s="133"/>
      <c r="K432" s="137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>
      <c r="A433" s="2"/>
      <c r="B433" s="131"/>
      <c r="C433" s="131"/>
      <c r="D433" s="131"/>
      <c r="E433" s="131"/>
      <c r="F433" s="131"/>
      <c r="G433" s="133"/>
      <c r="H433" s="132"/>
      <c r="I433" s="133"/>
      <c r="J433" s="133"/>
      <c r="K433" s="137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>
      <c r="A434" s="2"/>
      <c r="B434" s="131"/>
      <c r="C434" s="131"/>
      <c r="D434" s="131"/>
      <c r="E434" s="131"/>
      <c r="F434" s="131"/>
      <c r="G434" s="133"/>
      <c r="H434" s="132"/>
      <c r="I434" s="133"/>
      <c r="J434" s="133"/>
      <c r="K434" s="137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>
      <c r="A435" s="2"/>
      <c r="B435" s="131"/>
      <c r="C435" s="131"/>
      <c r="D435" s="131"/>
      <c r="E435" s="131"/>
      <c r="F435" s="131"/>
      <c r="G435" s="133"/>
      <c r="H435" s="132"/>
      <c r="I435" s="133"/>
      <c r="J435" s="133"/>
      <c r="K435" s="13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>
      <c r="A436" s="2"/>
      <c r="B436" s="131"/>
      <c r="C436" s="131"/>
      <c r="D436" s="131"/>
      <c r="E436" s="131"/>
      <c r="F436" s="131"/>
      <c r="G436" s="133"/>
      <c r="H436" s="132"/>
      <c r="I436" s="133"/>
      <c r="J436" s="133"/>
      <c r="K436" s="13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>
      <c r="A437" s="2"/>
      <c r="B437" s="131"/>
      <c r="C437" s="131"/>
      <c r="D437" s="131"/>
      <c r="E437" s="131"/>
      <c r="F437" s="131"/>
      <c r="G437" s="133"/>
      <c r="H437" s="132"/>
      <c r="I437" s="133"/>
      <c r="J437" s="133"/>
      <c r="K437" s="13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>
      <c r="A438" s="2"/>
      <c r="B438" s="131"/>
      <c r="C438" s="131"/>
      <c r="D438" s="131"/>
      <c r="E438" s="131"/>
      <c r="F438" s="131"/>
      <c r="G438" s="133"/>
      <c r="H438" s="132"/>
      <c r="I438" s="133"/>
      <c r="J438" s="133"/>
      <c r="K438" s="13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>
      <c r="A439" s="2"/>
      <c r="B439" s="131"/>
      <c r="C439" s="131"/>
      <c r="D439" s="131"/>
      <c r="E439" s="131"/>
      <c r="F439" s="131"/>
      <c r="G439" s="133"/>
      <c r="H439" s="132"/>
      <c r="I439" s="133"/>
      <c r="J439" s="133"/>
      <c r="K439" s="137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>
      <c r="A440" s="2"/>
      <c r="B440" s="131"/>
      <c r="C440" s="131"/>
      <c r="D440" s="131"/>
      <c r="E440" s="131"/>
      <c r="F440" s="131"/>
      <c r="G440" s="133"/>
      <c r="H440" s="132"/>
      <c r="I440" s="133"/>
      <c r="J440" s="133"/>
      <c r="K440" s="137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>
      <c r="A441" s="2"/>
      <c r="B441" s="131"/>
      <c r="C441" s="131"/>
      <c r="D441" s="131"/>
      <c r="E441" s="131"/>
      <c r="F441" s="131"/>
      <c r="G441" s="133"/>
      <c r="H441" s="132"/>
      <c r="I441" s="133"/>
      <c r="J441" s="133"/>
      <c r="K441" s="137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>
      <c r="A442" s="2"/>
      <c r="B442" s="131"/>
      <c r="C442" s="131"/>
      <c r="D442" s="131"/>
      <c r="E442" s="131"/>
      <c r="F442" s="131"/>
      <c r="G442" s="133"/>
      <c r="H442" s="132"/>
      <c r="I442" s="133"/>
      <c r="J442" s="133"/>
      <c r="K442" s="137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>
      <c r="A443" s="2"/>
      <c r="B443" s="131"/>
      <c r="C443" s="131"/>
      <c r="D443" s="131"/>
      <c r="E443" s="131"/>
      <c r="F443" s="131"/>
      <c r="G443" s="133"/>
      <c r="H443" s="132"/>
      <c r="I443" s="133"/>
      <c r="J443" s="133"/>
      <c r="K443" s="137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>
      <c r="A444" s="2"/>
      <c r="B444" s="131"/>
      <c r="C444" s="131"/>
      <c r="D444" s="131"/>
      <c r="E444" s="131"/>
      <c r="F444" s="131"/>
      <c r="G444" s="133"/>
      <c r="H444" s="132"/>
      <c r="I444" s="133"/>
      <c r="J444" s="133"/>
      <c r="K444" s="137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>
      <c r="A445" s="2"/>
      <c r="B445" s="131"/>
      <c r="C445" s="131"/>
      <c r="D445" s="131"/>
      <c r="E445" s="131"/>
      <c r="F445" s="131"/>
      <c r="G445" s="133"/>
      <c r="H445" s="132"/>
      <c r="I445" s="133"/>
      <c r="J445" s="133"/>
      <c r="K445" s="137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>
      <c r="A446" s="2"/>
      <c r="B446" s="131"/>
      <c r="C446" s="131"/>
      <c r="D446" s="131"/>
      <c r="E446" s="131"/>
      <c r="F446" s="131"/>
      <c r="G446" s="133"/>
      <c r="H446" s="132"/>
      <c r="I446" s="133"/>
      <c r="J446" s="133"/>
      <c r="K446" s="137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>
      <c r="A447" s="2"/>
      <c r="B447" s="131"/>
      <c r="C447" s="131"/>
      <c r="D447" s="131"/>
      <c r="E447" s="131"/>
      <c r="F447" s="131"/>
      <c r="G447" s="133"/>
      <c r="H447" s="132"/>
      <c r="I447" s="133"/>
      <c r="J447" s="133"/>
      <c r="K447" s="137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>
      <c r="A448" s="2"/>
      <c r="B448" s="131"/>
      <c r="C448" s="131"/>
      <c r="D448" s="131"/>
      <c r="E448" s="131"/>
      <c r="F448" s="131"/>
      <c r="G448" s="133"/>
      <c r="H448" s="132"/>
      <c r="I448" s="133"/>
      <c r="J448" s="133"/>
      <c r="K448" s="137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>
      <c r="A449" s="2"/>
      <c r="B449" s="131"/>
      <c r="C449" s="131"/>
      <c r="D449" s="131"/>
      <c r="E449" s="131"/>
      <c r="F449" s="131"/>
      <c r="G449" s="133"/>
      <c r="H449" s="132"/>
      <c r="I449" s="133"/>
      <c r="J449" s="133"/>
      <c r="K449" s="137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>
      <c r="A450" s="2"/>
      <c r="B450" s="131"/>
      <c r="C450" s="131"/>
      <c r="D450" s="131"/>
      <c r="E450" s="131"/>
      <c r="F450" s="131"/>
      <c r="G450" s="133"/>
      <c r="H450" s="132"/>
      <c r="I450" s="133"/>
      <c r="J450" s="133"/>
      <c r="K450" s="137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>
      <c r="A451" s="2"/>
      <c r="B451" s="131"/>
      <c r="C451" s="131"/>
      <c r="D451" s="131"/>
      <c r="E451" s="131"/>
      <c r="F451" s="131"/>
      <c r="G451" s="133"/>
      <c r="H451" s="132"/>
      <c r="I451" s="133"/>
      <c r="J451" s="133"/>
      <c r="K451" s="137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>
      <c r="A452" s="2"/>
      <c r="B452" s="131"/>
      <c r="C452" s="131"/>
      <c r="D452" s="131"/>
      <c r="E452" s="131"/>
      <c r="F452" s="131"/>
      <c r="G452" s="133"/>
      <c r="H452" s="132"/>
      <c r="I452" s="133"/>
      <c r="J452" s="133"/>
      <c r="K452" s="137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>
      <c r="A453" s="2"/>
      <c r="B453" s="131"/>
      <c r="C453" s="131"/>
      <c r="D453" s="131"/>
      <c r="E453" s="131"/>
      <c r="F453" s="131"/>
      <c r="G453" s="133"/>
      <c r="H453" s="132"/>
      <c r="I453" s="133"/>
      <c r="J453" s="133"/>
      <c r="K453" s="137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>
      <c r="A454" s="2"/>
      <c r="B454" s="131"/>
      <c r="C454" s="131"/>
      <c r="D454" s="131"/>
      <c r="E454" s="131"/>
      <c r="F454" s="131"/>
      <c r="G454" s="133"/>
      <c r="H454" s="132"/>
      <c r="I454" s="133"/>
      <c r="J454" s="133"/>
      <c r="K454" s="13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>
      <c r="A455" s="2"/>
      <c r="B455" s="131"/>
      <c r="C455" s="131"/>
      <c r="D455" s="131"/>
      <c r="E455" s="131"/>
      <c r="F455" s="131"/>
      <c r="G455" s="133"/>
      <c r="H455" s="132"/>
      <c r="I455" s="133"/>
      <c r="J455" s="133"/>
      <c r="K455" s="13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>
      <c r="A456" s="2"/>
      <c r="B456" s="131"/>
      <c r="C456" s="131"/>
      <c r="D456" s="131"/>
      <c r="E456" s="131"/>
      <c r="F456" s="131"/>
      <c r="G456" s="133"/>
      <c r="H456" s="132"/>
      <c r="I456" s="133"/>
      <c r="J456" s="133"/>
      <c r="K456" s="13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>
      <c r="A457" s="2"/>
      <c r="B457" s="131"/>
      <c r="C457" s="131"/>
      <c r="D457" s="131"/>
      <c r="E457" s="131"/>
      <c r="F457" s="131"/>
      <c r="G457" s="133"/>
      <c r="H457" s="132"/>
      <c r="I457" s="133"/>
      <c r="J457" s="133"/>
      <c r="K457" s="137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>
      <c r="A458" s="2"/>
      <c r="B458" s="131"/>
      <c r="C458" s="131"/>
      <c r="D458" s="131"/>
      <c r="E458" s="131"/>
      <c r="F458" s="131"/>
      <c r="G458" s="133"/>
      <c r="H458" s="132"/>
      <c r="I458" s="133"/>
      <c r="J458" s="133"/>
      <c r="K458" s="137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>
      <c r="A459" s="2"/>
      <c r="B459" s="131"/>
      <c r="C459" s="131"/>
      <c r="D459" s="131"/>
      <c r="E459" s="131"/>
      <c r="F459" s="131"/>
      <c r="G459" s="133"/>
      <c r="H459" s="132"/>
      <c r="I459" s="133"/>
      <c r="J459" s="133"/>
      <c r="K459" s="137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>
      <c r="A460" s="2"/>
      <c r="B460" s="131"/>
      <c r="C460" s="131"/>
      <c r="D460" s="131"/>
      <c r="E460" s="131"/>
      <c r="F460" s="131"/>
      <c r="G460" s="133"/>
      <c r="H460" s="132"/>
      <c r="I460" s="133"/>
      <c r="J460" s="133"/>
      <c r="K460" s="137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>
      <c r="A461" s="2"/>
      <c r="B461" s="131"/>
      <c r="C461" s="131"/>
      <c r="D461" s="131"/>
      <c r="E461" s="131"/>
      <c r="F461" s="131"/>
      <c r="G461" s="133"/>
      <c r="H461" s="132"/>
      <c r="I461" s="133"/>
      <c r="J461" s="133"/>
      <c r="K461" s="137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>
      <c r="A462" s="2"/>
      <c r="B462" s="131"/>
      <c r="C462" s="131"/>
      <c r="D462" s="131"/>
      <c r="E462" s="131"/>
      <c r="F462" s="131"/>
      <c r="G462" s="133"/>
      <c r="H462" s="132"/>
      <c r="I462" s="133"/>
      <c r="J462" s="133"/>
      <c r="K462" s="137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>
      <c r="A463" s="2"/>
      <c r="B463" s="131"/>
      <c r="C463" s="131"/>
      <c r="D463" s="131"/>
      <c r="E463" s="131"/>
      <c r="F463" s="131"/>
      <c r="G463" s="133"/>
      <c r="H463" s="132"/>
      <c r="I463" s="133"/>
      <c r="J463" s="133"/>
      <c r="K463" s="137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>
      <c r="A464" s="2"/>
      <c r="B464" s="131"/>
      <c r="C464" s="131"/>
      <c r="D464" s="131"/>
      <c r="E464" s="131"/>
      <c r="F464" s="131"/>
      <c r="G464" s="133"/>
      <c r="H464" s="132"/>
      <c r="I464" s="133"/>
      <c r="J464" s="133"/>
      <c r="K464" s="137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>
      <c r="A465" s="2"/>
      <c r="B465" s="131"/>
      <c r="C465" s="131"/>
      <c r="D465" s="131"/>
      <c r="E465" s="131"/>
      <c r="F465" s="131"/>
      <c r="G465" s="133"/>
      <c r="H465" s="132"/>
      <c r="I465" s="133"/>
      <c r="J465" s="133"/>
      <c r="K465" s="137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>
      <c r="A466" s="2"/>
      <c r="B466" s="131"/>
      <c r="C466" s="131"/>
      <c r="D466" s="131"/>
      <c r="E466" s="131"/>
      <c r="F466" s="131"/>
      <c r="G466" s="133"/>
      <c r="H466" s="132"/>
      <c r="I466" s="133"/>
      <c r="J466" s="133"/>
      <c r="K466" s="137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>
      <c r="A467" s="2"/>
      <c r="B467" s="131"/>
      <c r="C467" s="131"/>
      <c r="D467" s="131"/>
      <c r="E467" s="131"/>
      <c r="F467" s="131"/>
      <c r="G467" s="133"/>
      <c r="H467" s="132"/>
      <c r="I467" s="133"/>
      <c r="J467" s="133"/>
      <c r="K467" s="137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>
      <c r="A468" s="2"/>
      <c r="B468" s="131"/>
      <c r="C468" s="131"/>
      <c r="D468" s="131"/>
      <c r="E468" s="131"/>
      <c r="F468" s="131"/>
      <c r="G468" s="133"/>
      <c r="H468" s="132"/>
      <c r="I468" s="133"/>
      <c r="J468" s="133"/>
      <c r="K468" s="137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>
      <c r="A469" s="2"/>
      <c r="B469" s="131"/>
      <c r="C469" s="131"/>
      <c r="D469" s="131"/>
      <c r="E469" s="131"/>
      <c r="F469" s="131"/>
      <c r="G469" s="133"/>
      <c r="H469" s="132"/>
      <c r="I469" s="133"/>
      <c r="J469" s="133"/>
      <c r="K469" s="137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>
      <c r="A470" s="2"/>
      <c r="B470" s="131"/>
      <c r="C470" s="131"/>
      <c r="D470" s="131"/>
      <c r="E470" s="131"/>
      <c r="F470" s="131"/>
      <c r="G470" s="133"/>
      <c r="H470" s="132"/>
      <c r="I470" s="133"/>
      <c r="J470" s="133"/>
      <c r="K470" s="137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>
      <c r="A471" s="2"/>
      <c r="B471" s="131"/>
      <c r="C471" s="131"/>
      <c r="D471" s="131"/>
      <c r="E471" s="131"/>
      <c r="F471" s="131"/>
      <c r="G471" s="133"/>
      <c r="H471" s="132"/>
      <c r="I471" s="133"/>
      <c r="J471" s="133"/>
      <c r="K471" s="137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>
      <c r="A472" s="2"/>
      <c r="B472" s="131"/>
      <c r="C472" s="131"/>
      <c r="D472" s="131"/>
      <c r="E472" s="131"/>
      <c r="F472" s="131"/>
      <c r="G472" s="133"/>
      <c r="H472" s="132"/>
      <c r="I472" s="133"/>
      <c r="J472" s="133"/>
      <c r="K472" s="137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>
      <c r="A473" s="2"/>
      <c r="B473" s="131"/>
      <c r="C473" s="131"/>
      <c r="D473" s="131"/>
      <c r="E473" s="131"/>
      <c r="F473" s="131"/>
      <c r="G473" s="133"/>
      <c r="H473" s="132"/>
      <c r="I473" s="133"/>
      <c r="J473" s="133"/>
      <c r="K473" s="137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>
      <c r="A474" s="2"/>
      <c r="B474" s="131"/>
      <c r="C474" s="131"/>
      <c r="D474" s="131"/>
      <c r="E474" s="131"/>
      <c r="F474" s="131"/>
      <c r="G474" s="133"/>
      <c r="H474" s="132"/>
      <c r="I474" s="133"/>
      <c r="J474" s="133"/>
      <c r="K474" s="137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>
      <c r="A475" s="2"/>
      <c r="B475" s="131"/>
      <c r="C475" s="131"/>
      <c r="D475" s="131"/>
      <c r="E475" s="131"/>
      <c r="F475" s="131"/>
      <c r="G475" s="133"/>
      <c r="H475" s="132"/>
      <c r="I475" s="133"/>
      <c r="J475" s="133"/>
      <c r="K475" s="137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>
      <c r="A476" s="2"/>
      <c r="B476" s="131"/>
      <c r="C476" s="131"/>
      <c r="D476" s="131"/>
      <c r="E476" s="131"/>
      <c r="F476" s="131"/>
      <c r="G476" s="133"/>
      <c r="H476" s="132"/>
      <c r="I476" s="133"/>
      <c r="J476" s="133"/>
      <c r="K476" s="137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>
      <c r="A477" s="2"/>
      <c r="B477" s="131"/>
      <c r="C477" s="131"/>
      <c r="D477" s="131"/>
      <c r="E477" s="131"/>
      <c r="F477" s="131"/>
      <c r="G477" s="133"/>
      <c r="H477" s="132"/>
      <c r="I477" s="133"/>
      <c r="J477" s="133"/>
      <c r="K477" s="137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>
      <c r="A478" s="2"/>
      <c r="B478" s="131"/>
      <c r="C478" s="131"/>
      <c r="D478" s="131"/>
      <c r="E478" s="131"/>
      <c r="F478" s="131"/>
      <c r="G478" s="133"/>
      <c r="H478" s="132"/>
      <c r="I478" s="133"/>
      <c r="J478" s="133"/>
      <c r="K478" s="137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>
      <c r="A479" s="2"/>
      <c r="B479" s="131"/>
      <c r="C479" s="131"/>
      <c r="D479" s="131"/>
      <c r="E479" s="131"/>
      <c r="F479" s="131"/>
      <c r="G479" s="133"/>
      <c r="H479" s="132"/>
      <c r="I479" s="133"/>
      <c r="J479" s="133"/>
      <c r="K479" s="137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>
      <c r="A480" s="2"/>
      <c r="B480" s="131"/>
      <c r="C480" s="131"/>
      <c r="D480" s="131"/>
      <c r="E480" s="131"/>
      <c r="F480" s="131"/>
      <c r="G480" s="133"/>
      <c r="H480" s="132"/>
      <c r="I480" s="133"/>
      <c r="J480" s="133"/>
      <c r="K480" s="137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>
      <c r="A481" s="2"/>
      <c r="B481" s="131"/>
      <c r="C481" s="131"/>
      <c r="D481" s="131"/>
      <c r="E481" s="131"/>
      <c r="F481" s="131"/>
      <c r="G481" s="133"/>
      <c r="H481" s="132"/>
      <c r="I481" s="133"/>
      <c r="J481" s="133"/>
      <c r="K481" s="137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>
      <c r="A482" s="2"/>
      <c r="B482" s="131"/>
      <c r="C482" s="131"/>
      <c r="D482" s="131"/>
      <c r="E482" s="131"/>
      <c r="F482" s="131"/>
      <c r="G482" s="133"/>
      <c r="H482" s="132"/>
      <c r="I482" s="133"/>
      <c r="J482" s="133"/>
      <c r="K482" s="137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>
      <c r="A483" s="2"/>
      <c r="B483" s="131"/>
      <c r="C483" s="131"/>
      <c r="D483" s="131"/>
      <c r="E483" s="131"/>
      <c r="F483" s="131"/>
      <c r="G483" s="133"/>
      <c r="H483" s="132"/>
      <c r="I483" s="133"/>
      <c r="J483" s="133"/>
      <c r="K483" s="137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>
      <c r="A484" s="2"/>
      <c r="B484" s="131"/>
      <c r="C484" s="131"/>
      <c r="D484" s="131"/>
      <c r="E484" s="131"/>
      <c r="F484" s="131"/>
      <c r="G484" s="133"/>
      <c r="H484" s="132"/>
      <c r="I484" s="133"/>
      <c r="J484" s="133"/>
      <c r="K484" s="137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>
      <c r="A485" s="2"/>
      <c r="B485" s="131"/>
      <c r="C485" s="131"/>
      <c r="D485" s="131"/>
      <c r="E485" s="131"/>
      <c r="F485" s="131"/>
      <c r="G485" s="133"/>
      <c r="H485" s="132"/>
      <c r="I485" s="133"/>
      <c r="J485" s="133"/>
      <c r="K485" s="137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>
      <c r="A486" s="2"/>
      <c r="B486" s="131"/>
      <c r="C486" s="131"/>
      <c r="D486" s="131"/>
      <c r="E486" s="131"/>
      <c r="F486" s="131"/>
      <c r="G486" s="133"/>
      <c r="H486" s="132"/>
      <c r="I486" s="133"/>
      <c r="J486" s="133"/>
      <c r="K486" s="137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>
      <c r="A487" s="2"/>
      <c r="B487" s="131"/>
      <c r="C487" s="131"/>
      <c r="D487" s="131"/>
      <c r="E487" s="131"/>
      <c r="F487" s="131"/>
      <c r="G487" s="133"/>
      <c r="H487" s="132"/>
      <c r="I487" s="133"/>
      <c r="J487" s="133"/>
      <c r="K487" s="137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>
      <c r="A488" s="2"/>
      <c r="B488" s="131"/>
      <c r="C488" s="131"/>
      <c r="D488" s="131"/>
      <c r="E488" s="131"/>
      <c r="F488" s="131"/>
      <c r="G488" s="133"/>
      <c r="H488" s="132"/>
      <c r="I488" s="133"/>
      <c r="J488" s="133"/>
      <c r="K488" s="137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>
      <c r="A489" s="2"/>
      <c r="B489" s="131"/>
      <c r="C489" s="131"/>
      <c r="D489" s="131"/>
      <c r="E489" s="131"/>
      <c r="F489" s="131"/>
      <c r="G489" s="133"/>
      <c r="H489" s="132"/>
      <c r="I489" s="133"/>
      <c r="J489" s="133"/>
      <c r="K489" s="137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>
      <c r="A490" s="2"/>
      <c r="B490" s="131"/>
      <c r="C490" s="131"/>
      <c r="D490" s="131"/>
      <c r="E490" s="131"/>
      <c r="F490" s="131"/>
      <c r="G490" s="133"/>
      <c r="H490" s="132"/>
      <c r="I490" s="133"/>
      <c r="J490" s="133"/>
      <c r="K490" s="137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>
      <c r="A491" s="2"/>
      <c r="B491" s="131"/>
      <c r="C491" s="131"/>
      <c r="D491" s="131"/>
      <c r="E491" s="131"/>
      <c r="F491" s="131"/>
      <c r="G491" s="133"/>
      <c r="H491" s="132"/>
      <c r="I491" s="133"/>
      <c r="J491" s="133"/>
      <c r="K491" s="137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>
      <c r="A492" s="2"/>
      <c r="B492" s="131"/>
      <c r="C492" s="131"/>
      <c r="D492" s="131"/>
      <c r="E492" s="131"/>
      <c r="F492" s="131"/>
      <c r="G492" s="133"/>
      <c r="H492" s="132"/>
      <c r="I492" s="133"/>
      <c r="J492" s="133"/>
      <c r="K492" s="137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>
      <c r="A493" s="2"/>
      <c r="B493" s="131"/>
      <c r="C493" s="131"/>
      <c r="D493" s="131"/>
      <c r="E493" s="131"/>
      <c r="F493" s="131"/>
      <c r="G493" s="133"/>
      <c r="H493" s="132"/>
      <c r="I493" s="133"/>
      <c r="J493" s="133"/>
      <c r="K493" s="137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>
      <c r="A494" s="2"/>
      <c r="B494" s="131"/>
      <c r="C494" s="131"/>
      <c r="D494" s="131"/>
      <c r="E494" s="131"/>
      <c r="F494" s="131"/>
      <c r="G494" s="133"/>
      <c r="H494" s="132"/>
      <c r="I494" s="133"/>
      <c r="J494" s="133"/>
      <c r="K494" s="137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>
      <c r="A495" s="2"/>
      <c r="B495" s="131"/>
      <c r="C495" s="131"/>
      <c r="D495" s="131"/>
      <c r="E495" s="131"/>
      <c r="F495" s="131"/>
      <c r="G495" s="133"/>
      <c r="H495" s="132"/>
      <c r="I495" s="133"/>
      <c r="J495" s="133"/>
      <c r="K495" s="137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>
      <c r="A496" s="2"/>
      <c r="B496" s="131"/>
      <c r="C496" s="131"/>
      <c r="D496" s="131"/>
      <c r="E496" s="131"/>
      <c r="F496" s="131"/>
      <c r="G496" s="133"/>
      <c r="H496" s="132"/>
      <c r="I496" s="133"/>
      <c r="J496" s="133"/>
      <c r="K496" s="137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>
      <c r="A497" s="2"/>
      <c r="B497" s="131"/>
      <c r="C497" s="131"/>
      <c r="D497" s="131"/>
      <c r="E497" s="131"/>
      <c r="F497" s="131"/>
      <c r="G497" s="133"/>
      <c r="H497" s="132"/>
      <c r="I497" s="133"/>
      <c r="J497" s="133"/>
      <c r="K497" s="137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>
      <c r="A498" s="2"/>
      <c r="B498" s="131"/>
      <c r="C498" s="131"/>
      <c r="D498" s="131"/>
      <c r="E498" s="131"/>
      <c r="F498" s="131"/>
      <c r="G498" s="133"/>
      <c r="H498" s="132"/>
      <c r="I498" s="133"/>
      <c r="J498" s="133"/>
      <c r="K498" s="137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>
      <c r="A499" s="2"/>
      <c r="B499" s="131"/>
      <c r="C499" s="131"/>
      <c r="D499" s="131"/>
      <c r="E499" s="131"/>
      <c r="F499" s="131"/>
      <c r="G499" s="133"/>
      <c r="H499" s="132"/>
      <c r="I499" s="133"/>
      <c r="J499" s="133"/>
      <c r="K499" s="137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>
      <c r="A500" s="2"/>
      <c r="B500" s="131"/>
      <c r="C500" s="131"/>
      <c r="D500" s="131"/>
      <c r="E500" s="131"/>
      <c r="F500" s="131"/>
      <c r="G500" s="133"/>
      <c r="H500" s="132"/>
      <c r="I500" s="133"/>
      <c r="J500" s="133"/>
      <c r="K500" s="137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>
      <c r="A501" s="2"/>
      <c r="B501" s="131"/>
      <c r="C501" s="131"/>
      <c r="D501" s="131"/>
      <c r="E501" s="131"/>
      <c r="F501" s="131"/>
      <c r="G501" s="133"/>
      <c r="H501" s="132"/>
      <c r="I501" s="133"/>
      <c r="J501" s="133"/>
      <c r="K501" s="137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>
      <c r="A502" s="2"/>
      <c r="B502" s="131"/>
      <c r="C502" s="131"/>
      <c r="D502" s="131"/>
      <c r="E502" s="131"/>
      <c r="F502" s="131"/>
      <c r="G502" s="133"/>
      <c r="H502" s="132"/>
      <c r="I502" s="133"/>
      <c r="J502" s="133"/>
      <c r="K502" s="137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>
      <c r="A503" s="2"/>
      <c r="B503" s="131"/>
      <c r="C503" s="131"/>
      <c r="D503" s="131"/>
      <c r="E503" s="131"/>
      <c r="F503" s="131"/>
      <c r="G503" s="133"/>
      <c r="H503" s="132"/>
      <c r="I503" s="133"/>
      <c r="J503" s="133"/>
      <c r="K503" s="137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>
      <c r="A504" s="2"/>
      <c r="B504" s="131"/>
      <c r="C504" s="131"/>
      <c r="D504" s="131"/>
      <c r="E504" s="131"/>
      <c r="F504" s="131"/>
      <c r="G504" s="133"/>
      <c r="H504" s="132"/>
      <c r="I504" s="133"/>
      <c r="J504" s="133"/>
      <c r="K504" s="137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>
      <c r="A505" s="2"/>
      <c r="B505" s="131"/>
      <c r="C505" s="131"/>
      <c r="D505" s="131"/>
      <c r="E505" s="131"/>
      <c r="F505" s="131"/>
      <c r="G505" s="133"/>
      <c r="H505" s="132"/>
      <c r="I505" s="133"/>
      <c r="J505" s="133"/>
      <c r="K505" s="137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>
      <c r="A506" s="2"/>
      <c r="B506" s="131"/>
      <c r="C506" s="131"/>
      <c r="D506" s="131"/>
      <c r="E506" s="131"/>
      <c r="F506" s="131"/>
      <c r="G506" s="133"/>
      <c r="H506" s="132"/>
      <c r="I506" s="133"/>
      <c r="J506" s="133"/>
      <c r="K506" s="137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>
      <c r="A507" s="2"/>
      <c r="B507" s="131"/>
      <c r="C507" s="131"/>
      <c r="D507" s="131"/>
      <c r="E507" s="131"/>
      <c r="F507" s="131"/>
      <c r="G507" s="133"/>
      <c r="H507" s="132"/>
      <c r="I507" s="133"/>
      <c r="J507" s="133"/>
      <c r="K507" s="137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>
      <c r="A508" s="2"/>
      <c r="B508" s="131"/>
      <c r="C508" s="131"/>
      <c r="D508" s="131"/>
      <c r="E508" s="131"/>
      <c r="F508" s="131"/>
      <c r="G508" s="133"/>
      <c r="H508" s="132"/>
      <c r="I508" s="133"/>
      <c r="J508" s="133"/>
      <c r="K508" s="137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>
      <c r="A509" s="2"/>
      <c r="B509" s="131"/>
      <c r="C509" s="131"/>
      <c r="D509" s="131"/>
      <c r="E509" s="131"/>
      <c r="F509" s="131"/>
      <c r="G509" s="133"/>
      <c r="H509" s="132"/>
      <c r="I509" s="133"/>
      <c r="J509" s="133"/>
      <c r="K509" s="137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>
      <c r="A510" s="2"/>
      <c r="B510" s="131"/>
      <c r="C510" s="131"/>
      <c r="D510" s="131"/>
      <c r="E510" s="131"/>
      <c r="F510" s="131"/>
      <c r="G510" s="133"/>
      <c r="H510" s="132"/>
      <c r="I510" s="133"/>
      <c r="J510" s="133"/>
      <c r="K510" s="137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>
      <c r="A511" s="2"/>
      <c r="B511" s="131"/>
      <c r="C511" s="131"/>
      <c r="D511" s="131"/>
      <c r="E511" s="131"/>
      <c r="F511" s="131"/>
      <c r="G511" s="133"/>
      <c r="H511" s="132"/>
      <c r="I511" s="133"/>
      <c r="J511" s="133"/>
      <c r="K511" s="137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>
      <c r="A512" s="2"/>
      <c r="B512" s="131"/>
      <c r="C512" s="131"/>
      <c r="D512" s="131"/>
      <c r="E512" s="131"/>
      <c r="F512" s="131"/>
      <c r="G512" s="133"/>
      <c r="H512" s="132"/>
      <c r="I512" s="133"/>
      <c r="J512" s="133"/>
      <c r="K512" s="137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>
      <c r="A513" s="2"/>
      <c r="B513" s="131"/>
      <c r="C513" s="131"/>
      <c r="D513" s="131"/>
      <c r="E513" s="131"/>
      <c r="F513" s="131"/>
      <c r="G513" s="133"/>
      <c r="H513" s="132"/>
      <c r="I513" s="133"/>
      <c r="J513" s="133"/>
      <c r="K513" s="137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>
      <c r="A514" s="2"/>
      <c r="B514" s="131"/>
      <c r="C514" s="131"/>
      <c r="D514" s="131"/>
      <c r="E514" s="131"/>
      <c r="F514" s="131"/>
      <c r="G514" s="133"/>
      <c r="H514" s="132"/>
      <c r="I514" s="133"/>
      <c r="J514" s="133"/>
      <c r="K514" s="137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>
      <c r="A515" s="2"/>
      <c r="B515" s="131"/>
      <c r="C515" s="131"/>
      <c r="D515" s="131"/>
      <c r="E515" s="131"/>
      <c r="F515" s="131"/>
      <c r="G515" s="133"/>
      <c r="H515" s="132"/>
      <c r="I515" s="133"/>
      <c r="J515" s="133"/>
      <c r="K515" s="137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>
      <c r="A516" s="2"/>
      <c r="B516" s="131"/>
      <c r="C516" s="131"/>
      <c r="D516" s="131"/>
      <c r="E516" s="131"/>
      <c r="F516" s="131"/>
      <c r="G516" s="133"/>
      <c r="H516" s="132"/>
      <c r="I516" s="133"/>
      <c r="J516" s="133"/>
      <c r="K516" s="137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>
      <c r="A517" s="2"/>
      <c r="B517" s="131"/>
      <c r="C517" s="131"/>
      <c r="D517" s="131"/>
      <c r="E517" s="131"/>
      <c r="F517" s="131"/>
      <c r="G517" s="133"/>
      <c r="H517" s="132"/>
      <c r="I517" s="133"/>
      <c r="J517" s="133"/>
      <c r="K517" s="137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>
      <c r="A518" s="2"/>
      <c r="B518" s="131"/>
      <c r="C518" s="131"/>
      <c r="D518" s="131"/>
      <c r="E518" s="131"/>
      <c r="F518" s="131"/>
      <c r="G518" s="133"/>
      <c r="H518" s="132"/>
      <c r="I518" s="133"/>
      <c r="J518" s="133"/>
      <c r="K518" s="137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>
      <c r="A519" s="2"/>
      <c r="B519" s="131"/>
      <c r="C519" s="131"/>
      <c r="D519" s="131"/>
      <c r="E519" s="131"/>
      <c r="F519" s="131"/>
      <c r="G519" s="133"/>
      <c r="H519" s="132"/>
      <c r="I519" s="133"/>
      <c r="J519" s="133"/>
      <c r="K519" s="137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>
      <c r="A520" s="2"/>
      <c r="B520" s="131"/>
      <c r="C520" s="131"/>
      <c r="D520" s="131"/>
      <c r="E520" s="131"/>
      <c r="F520" s="131"/>
      <c r="G520" s="133"/>
      <c r="H520" s="132"/>
      <c r="I520" s="133"/>
      <c r="J520" s="133"/>
      <c r="K520" s="137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>
      <c r="A521" s="2"/>
      <c r="B521" s="131"/>
      <c r="C521" s="131"/>
      <c r="D521" s="131"/>
      <c r="E521" s="131"/>
      <c r="F521" s="131"/>
      <c r="G521" s="133"/>
      <c r="H521" s="132"/>
      <c r="I521" s="133"/>
      <c r="J521" s="133"/>
      <c r="K521" s="137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>
      <c r="A522" s="2"/>
      <c r="B522" s="131"/>
      <c r="C522" s="131"/>
      <c r="D522" s="131"/>
      <c r="E522" s="131"/>
      <c r="F522" s="131"/>
      <c r="G522" s="133"/>
      <c r="H522" s="132"/>
      <c r="I522" s="133"/>
      <c r="J522" s="133"/>
      <c r="K522" s="137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>
      <c r="A523" s="2"/>
      <c r="B523" s="131"/>
      <c r="C523" s="131"/>
      <c r="D523" s="131"/>
      <c r="E523" s="131"/>
      <c r="F523" s="131"/>
      <c r="G523" s="133"/>
      <c r="H523" s="132"/>
      <c r="I523" s="133"/>
      <c r="J523" s="133"/>
      <c r="K523" s="137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>
      <c r="A524" s="2"/>
      <c r="B524" s="131"/>
      <c r="C524" s="131"/>
      <c r="D524" s="131"/>
      <c r="E524" s="131"/>
      <c r="F524" s="131"/>
      <c r="G524" s="133"/>
      <c r="H524" s="132"/>
      <c r="I524" s="133"/>
      <c r="J524" s="133"/>
      <c r="K524" s="137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>
      <c r="A525" s="2"/>
      <c r="B525" s="131"/>
      <c r="C525" s="131"/>
      <c r="D525" s="131"/>
      <c r="E525" s="131"/>
      <c r="F525" s="131"/>
      <c r="G525" s="133"/>
      <c r="H525" s="132"/>
      <c r="I525" s="133"/>
      <c r="J525" s="133"/>
      <c r="K525" s="137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>
      <c r="A526" s="2"/>
      <c r="B526" s="131"/>
      <c r="C526" s="131"/>
      <c r="D526" s="131"/>
      <c r="E526" s="131"/>
      <c r="F526" s="131"/>
      <c r="G526" s="133"/>
      <c r="H526" s="132"/>
      <c r="I526" s="133"/>
      <c r="J526" s="133"/>
      <c r="K526" s="137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>
      <c r="A527" s="2"/>
      <c r="B527" s="131"/>
      <c r="C527" s="131"/>
      <c r="D527" s="131"/>
      <c r="E527" s="131"/>
      <c r="F527" s="131"/>
      <c r="G527" s="133"/>
      <c r="H527" s="132"/>
      <c r="I527" s="133"/>
      <c r="J527" s="133"/>
      <c r="K527" s="137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>
      <c r="A528" s="2"/>
      <c r="B528" s="131"/>
      <c r="C528" s="131"/>
      <c r="D528" s="131"/>
      <c r="E528" s="131"/>
      <c r="F528" s="131"/>
      <c r="G528" s="133"/>
      <c r="H528" s="132"/>
      <c r="I528" s="133"/>
      <c r="J528" s="133"/>
      <c r="K528" s="137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>
      <c r="A529" s="2"/>
      <c r="B529" s="131"/>
      <c r="C529" s="131"/>
      <c r="D529" s="131"/>
      <c r="E529" s="131"/>
      <c r="F529" s="131"/>
      <c r="G529" s="133"/>
      <c r="H529" s="132"/>
      <c r="I529" s="133"/>
      <c r="J529" s="133"/>
      <c r="K529" s="137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>
      <c r="A530" s="2"/>
      <c r="B530" s="131"/>
      <c r="C530" s="131"/>
      <c r="D530" s="131"/>
      <c r="E530" s="131"/>
      <c r="F530" s="131"/>
      <c r="G530" s="133"/>
      <c r="H530" s="132"/>
      <c r="I530" s="133"/>
      <c r="J530" s="133"/>
      <c r="K530" s="137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>
      <c r="A531" s="2"/>
      <c r="B531" s="131"/>
      <c r="C531" s="131"/>
      <c r="D531" s="131"/>
      <c r="E531" s="131"/>
      <c r="F531" s="131"/>
      <c r="G531" s="133"/>
      <c r="H531" s="132"/>
      <c r="I531" s="133"/>
      <c r="J531" s="133"/>
      <c r="K531" s="137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>
      <c r="A532" s="2"/>
      <c r="B532" s="131"/>
      <c r="C532" s="131"/>
      <c r="D532" s="131"/>
      <c r="E532" s="131"/>
      <c r="F532" s="131"/>
      <c r="G532" s="133"/>
      <c r="H532" s="132"/>
      <c r="I532" s="133"/>
      <c r="J532" s="133"/>
      <c r="K532" s="137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>
      <c r="A533" s="2"/>
      <c r="B533" s="131"/>
      <c r="C533" s="131"/>
      <c r="D533" s="131"/>
      <c r="E533" s="131"/>
      <c r="F533" s="131"/>
      <c r="G533" s="133"/>
      <c r="H533" s="132"/>
      <c r="I533" s="133"/>
      <c r="J533" s="133"/>
      <c r="K533" s="137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>
      <c r="A534" s="2"/>
      <c r="B534" s="131"/>
      <c r="C534" s="131"/>
      <c r="D534" s="131"/>
      <c r="E534" s="131"/>
      <c r="F534" s="131"/>
      <c r="G534" s="133"/>
      <c r="H534" s="132"/>
      <c r="I534" s="133"/>
      <c r="J534" s="133"/>
      <c r="K534" s="137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>
      <c r="A535" s="2"/>
      <c r="B535" s="131"/>
      <c r="C535" s="131"/>
      <c r="D535" s="131"/>
      <c r="E535" s="131"/>
      <c r="F535" s="131"/>
      <c r="G535" s="133"/>
      <c r="H535" s="132"/>
      <c r="I535" s="133"/>
      <c r="J535" s="133"/>
      <c r="K535" s="137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>
      <c r="A536" s="2"/>
      <c r="B536" s="131"/>
      <c r="C536" s="131"/>
      <c r="D536" s="131"/>
      <c r="E536" s="131"/>
      <c r="F536" s="131"/>
      <c r="G536" s="133"/>
      <c r="H536" s="132"/>
      <c r="I536" s="133"/>
      <c r="J536" s="133"/>
      <c r="K536" s="137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>
      <c r="A537" s="2"/>
      <c r="B537" s="131"/>
      <c r="C537" s="131"/>
      <c r="D537" s="131"/>
      <c r="E537" s="131"/>
      <c r="F537" s="131"/>
      <c r="G537" s="133"/>
      <c r="H537" s="132"/>
      <c r="I537" s="133"/>
      <c r="J537" s="133"/>
      <c r="K537" s="137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>
      <c r="A538" s="2"/>
      <c r="B538" s="131"/>
      <c r="C538" s="131"/>
      <c r="D538" s="131"/>
      <c r="E538" s="131"/>
      <c r="F538" s="131"/>
      <c r="G538" s="133"/>
      <c r="H538" s="132"/>
      <c r="I538" s="133"/>
      <c r="J538" s="133"/>
      <c r="K538" s="13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>
      <c r="A539" s="2"/>
      <c r="B539" s="131"/>
      <c r="C539" s="131"/>
      <c r="D539" s="131"/>
      <c r="E539" s="131"/>
      <c r="F539" s="131"/>
      <c r="G539" s="133"/>
      <c r="H539" s="132"/>
      <c r="I539" s="133"/>
      <c r="J539" s="133"/>
      <c r="K539" s="13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>
      <c r="A540" s="2"/>
      <c r="B540" s="131"/>
      <c r="C540" s="131"/>
      <c r="D540" s="131"/>
      <c r="E540" s="131"/>
      <c r="F540" s="131"/>
      <c r="G540" s="133"/>
      <c r="H540" s="132"/>
      <c r="I540" s="133"/>
      <c r="J540" s="133"/>
      <c r="K540" s="137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>
      <c r="A541" s="2"/>
      <c r="B541" s="131"/>
      <c r="C541" s="131"/>
      <c r="D541" s="131"/>
      <c r="E541" s="131"/>
      <c r="F541" s="131"/>
      <c r="G541" s="133"/>
      <c r="H541" s="132"/>
      <c r="I541" s="133"/>
      <c r="J541" s="133"/>
      <c r="K541" s="137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>
      <c r="A542" s="2"/>
      <c r="B542" s="131"/>
      <c r="C542" s="131"/>
      <c r="D542" s="131"/>
      <c r="E542" s="131"/>
      <c r="F542" s="131"/>
      <c r="G542" s="133"/>
      <c r="H542" s="132"/>
      <c r="I542" s="133"/>
      <c r="J542" s="133"/>
      <c r="K542" s="137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>
      <c r="A543" s="2"/>
      <c r="B543" s="131"/>
      <c r="C543" s="131"/>
      <c r="D543" s="131"/>
      <c r="E543" s="131"/>
      <c r="F543" s="131"/>
      <c r="G543" s="133"/>
      <c r="H543" s="132"/>
      <c r="I543" s="133"/>
      <c r="J543" s="133"/>
      <c r="K543" s="137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>
      <c r="A544" s="2"/>
      <c r="B544" s="131"/>
      <c r="C544" s="131"/>
      <c r="D544" s="131"/>
      <c r="E544" s="131"/>
      <c r="F544" s="131"/>
      <c r="G544" s="133"/>
      <c r="H544" s="132"/>
      <c r="I544" s="133"/>
      <c r="J544" s="133"/>
      <c r="K544" s="137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>
      <c r="A545" s="2"/>
      <c r="B545" s="131"/>
      <c r="C545" s="131"/>
      <c r="D545" s="131"/>
      <c r="E545" s="131"/>
      <c r="F545" s="131"/>
      <c r="G545" s="133"/>
      <c r="H545" s="132"/>
      <c r="I545" s="133"/>
      <c r="J545" s="133"/>
      <c r="K545" s="137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>
      <c r="A546" s="2"/>
      <c r="B546" s="131"/>
      <c r="C546" s="131"/>
      <c r="D546" s="131"/>
      <c r="E546" s="131"/>
      <c r="F546" s="131"/>
      <c r="G546" s="133"/>
      <c r="H546" s="132"/>
      <c r="I546" s="133"/>
      <c r="J546" s="133"/>
      <c r="K546" s="137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>
      <c r="A547" s="2"/>
      <c r="B547" s="131"/>
      <c r="C547" s="131"/>
      <c r="D547" s="131"/>
      <c r="E547" s="131"/>
      <c r="F547" s="131"/>
      <c r="G547" s="133"/>
      <c r="H547" s="132"/>
      <c r="I547" s="133"/>
      <c r="J547" s="133"/>
      <c r="K547" s="137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>
      <c r="A548" s="2"/>
      <c r="B548" s="131"/>
      <c r="C548" s="131"/>
      <c r="D548" s="131"/>
      <c r="E548" s="131"/>
      <c r="F548" s="131"/>
      <c r="G548" s="133"/>
      <c r="H548" s="132"/>
      <c r="I548" s="133"/>
      <c r="J548" s="133"/>
      <c r="K548" s="137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>
      <c r="A549" s="2"/>
      <c r="B549" s="131"/>
      <c r="C549" s="131"/>
      <c r="D549" s="131"/>
      <c r="E549" s="131"/>
      <c r="F549" s="131"/>
      <c r="G549" s="133"/>
      <c r="H549" s="132"/>
      <c r="I549" s="133"/>
      <c r="J549" s="133"/>
      <c r="K549" s="137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>
      <c r="A550" s="2"/>
      <c r="B550" s="131"/>
      <c r="C550" s="131"/>
      <c r="D550" s="131"/>
      <c r="E550" s="131"/>
      <c r="F550" s="131"/>
      <c r="G550" s="133"/>
      <c r="H550" s="132"/>
      <c r="I550" s="133"/>
      <c r="J550" s="133"/>
      <c r="K550" s="137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>
      <c r="A551" s="2"/>
      <c r="B551" s="131"/>
      <c r="C551" s="131"/>
      <c r="D551" s="131"/>
      <c r="E551" s="131"/>
      <c r="F551" s="131"/>
      <c r="G551" s="133"/>
      <c r="H551" s="132"/>
      <c r="I551" s="133"/>
      <c r="J551" s="133"/>
      <c r="K551" s="137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>
      <c r="A552" s="2"/>
      <c r="B552" s="131"/>
      <c r="C552" s="131"/>
      <c r="D552" s="131"/>
      <c r="E552" s="131"/>
      <c r="F552" s="131"/>
      <c r="G552" s="133"/>
      <c r="H552" s="132"/>
      <c r="I552" s="133"/>
      <c r="J552" s="133"/>
      <c r="K552" s="137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>
      <c r="A553" s="2"/>
      <c r="B553" s="131"/>
      <c r="C553" s="131"/>
      <c r="D553" s="131"/>
      <c r="E553" s="131"/>
      <c r="F553" s="131"/>
      <c r="G553" s="133"/>
      <c r="H553" s="132"/>
      <c r="I553" s="133"/>
      <c r="J553" s="133"/>
      <c r="K553" s="137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>
      <c r="A554" s="2"/>
      <c r="B554" s="131"/>
      <c r="C554" s="131"/>
      <c r="D554" s="131"/>
      <c r="E554" s="131"/>
      <c r="F554" s="131"/>
      <c r="G554" s="133"/>
      <c r="H554" s="132"/>
      <c r="I554" s="133"/>
      <c r="J554" s="133"/>
      <c r="K554" s="137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>
      <c r="A555" s="2"/>
      <c r="B555" s="131"/>
      <c r="C555" s="131"/>
      <c r="D555" s="131"/>
      <c r="E555" s="131"/>
      <c r="F555" s="131"/>
      <c r="G555" s="133"/>
      <c r="H555" s="132"/>
      <c r="I555" s="133"/>
      <c r="J555" s="133"/>
      <c r="K555" s="137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>
      <c r="A556" s="2"/>
      <c r="B556" s="131"/>
      <c r="C556" s="131"/>
      <c r="D556" s="131"/>
      <c r="E556" s="131"/>
      <c r="F556" s="131"/>
      <c r="G556" s="133"/>
      <c r="H556" s="132"/>
      <c r="I556" s="133"/>
      <c r="J556" s="133"/>
      <c r="K556" s="137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>
      <c r="A557" s="2"/>
      <c r="B557" s="131"/>
      <c r="C557" s="131"/>
      <c r="D557" s="131"/>
      <c r="E557" s="131"/>
      <c r="F557" s="131"/>
      <c r="G557" s="133"/>
      <c r="H557" s="132"/>
      <c r="I557" s="133"/>
      <c r="J557" s="133"/>
      <c r="K557" s="137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>
      <c r="A558" s="2"/>
      <c r="B558" s="131"/>
      <c r="C558" s="131"/>
      <c r="D558" s="131"/>
      <c r="E558" s="131"/>
      <c r="F558" s="131"/>
      <c r="G558" s="133"/>
      <c r="H558" s="132"/>
      <c r="I558" s="133"/>
      <c r="J558" s="133"/>
      <c r="K558" s="137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>
      <c r="A559" s="2"/>
      <c r="B559" s="131"/>
      <c r="C559" s="131"/>
      <c r="D559" s="131"/>
      <c r="E559" s="131"/>
      <c r="F559" s="131"/>
      <c r="G559" s="133"/>
      <c r="H559" s="132"/>
      <c r="I559" s="133"/>
      <c r="J559" s="133"/>
      <c r="K559" s="137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>
      <c r="A560" s="2"/>
      <c r="B560" s="131"/>
      <c r="C560" s="131"/>
      <c r="D560" s="131"/>
      <c r="E560" s="131"/>
      <c r="F560" s="131"/>
      <c r="G560" s="133"/>
      <c r="H560" s="132"/>
      <c r="I560" s="133"/>
      <c r="J560" s="133"/>
      <c r="K560" s="137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>
      <c r="A561" s="2"/>
      <c r="B561" s="131"/>
      <c r="C561" s="131"/>
      <c r="D561" s="131"/>
      <c r="E561" s="131"/>
      <c r="F561" s="131"/>
      <c r="G561" s="133"/>
      <c r="H561" s="132"/>
      <c r="I561" s="133"/>
      <c r="J561" s="133"/>
      <c r="K561" s="137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>
      <c r="A562" s="2"/>
      <c r="B562" s="131"/>
      <c r="C562" s="131"/>
      <c r="D562" s="131"/>
      <c r="E562" s="131"/>
      <c r="F562" s="131"/>
      <c r="G562" s="133"/>
      <c r="H562" s="132"/>
      <c r="I562" s="133"/>
      <c r="J562" s="133"/>
      <c r="K562" s="137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>
      <c r="A563" s="2"/>
      <c r="B563" s="131"/>
      <c r="C563" s="131"/>
      <c r="D563" s="131"/>
      <c r="E563" s="131"/>
      <c r="F563" s="131"/>
      <c r="G563" s="133"/>
      <c r="H563" s="132"/>
      <c r="I563" s="133"/>
      <c r="J563" s="133"/>
      <c r="K563" s="137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>
      <c r="A564" s="2"/>
      <c r="B564" s="131"/>
      <c r="C564" s="131"/>
      <c r="D564" s="131"/>
      <c r="E564" s="131"/>
      <c r="F564" s="131"/>
      <c r="G564" s="133"/>
      <c r="H564" s="132"/>
      <c r="I564" s="133"/>
      <c r="J564" s="133"/>
      <c r="K564" s="137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>
      <c r="A565" s="2"/>
      <c r="B565" s="131"/>
      <c r="C565" s="131"/>
      <c r="D565" s="131"/>
      <c r="E565" s="131"/>
      <c r="F565" s="131"/>
      <c r="G565" s="133"/>
      <c r="H565" s="132"/>
      <c r="I565" s="133"/>
      <c r="J565" s="133"/>
      <c r="K565" s="137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>
      <c r="A566" s="2"/>
      <c r="B566" s="131"/>
      <c r="C566" s="131"/>
      <c r="D566" s="131"/>
      <c r="E566" s="131"/>
      <c r="F566" s="131"/>
      <c r="G566" s="133"/>
      <c r="H566" s="132"/>
      <c r="I566" s="133"/>
      <c r="J566" s="133"/>
      <c r="K566" s="137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>
      <c r="A567" s="2"/>
      <c r="B567" s="131"/>
      <c r="C567" s="131"/>
      <c r="D567" s="131"/>
      <c r="E567" s="131"/>
      <c r="F567" s="131"/>
      <c r="G567" s="133"/>
      <c r="H567" s="132"/>
      <c r="I567" s="133"/>
      <c r="J567" s="133"/>
      <c r="K567" s="137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>
      <c r="A568" s="2"/>
      <c r="B568" s="131"/>
      <c r="C568" s="131"/>
      <c r="D568" s="131"/>
      <c r="E568" s="131"/>
      <c r="F568" s="131"/>
      <c r="G568" s="133"/>
      <c r="H568" s="132"/>
      <c r="I568" s="133"/>
      <c r="J568" s="133"/>
      <c r="K568" s="137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>
      <c r="A569" s="2"/>
      <c r="B569" s="131"/>
      <c r="C569" s="131"/>
      <c r="D569" s="131"/>
      <c r="E569" s="131"/>
      <c r="F569" s="131"/>
      <c r="G569" s="133"/>
      <c r="H569" s="132"/>
      <c r="I569" s="133"/>
      <c r="J569" s="133"/>
      <c r="K569" s="137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>
      <c r="A570" s="2"/>
      <c r="B570" s="131"/>
      <c r="C570" s="131"/>
      <c r="D570" s="131"/>
      <c r="E570" s="131"/>
      <c r="F570" s="131"/>
      <c r="G570" s="133"/>
      <c r="H570" s="132"/>
      <c r="I570" s="133"/>
      <c r="J570" s="133"/>
      <c r="K570" s="137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>
      <c r="A571" s="2"/>
      <c r="B571" s="131"/>
      <c r="C571" s="131"/>
      <c r="D571" s="131"/>
      <c r="E571" s="131"/>
      <c r="F571" s="131"/>
      <c r="G571" s="133"/>
      <c r="H571" s="132"/>
      <c r="I571" s="133"/>
      <c r="J571" s="133"/>
      <c r="K571" s="137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>
      <c r="A572" s="2"/>
      <c r="B572" s="131"/>
      <c r="C572" s="131"/>
      <c r="D572" s="131"/>
      <c r="E572" s="131"/>
      <c r="F572" s="131"/>
      <c r="G572" s="133"/>
      <c r="H572" s="132"/>
      <c r="I572" s="133"/>
      <c r="J572" s="133"/>
      <c r="K572" s="137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>
      <c r="A573" s="2"/>
      <c r="B573" s="131"/>
      <c r="C573" s="131"/>
      <c r="D573" s="131"/>
      <c r="E573" s="131"/>
      <c r="F573" s="131"/>
      <c r="G573" s="133"/>
      <c r="H573" s="132"/>
      <c r="I573" s="133"/>
      <c r="J573" s="133"/>
      <c r="K573" s="137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>
      <c r="A574" s="2"/>
      <c r="B574" s="131"/>
      <c r="C574" s="131"/>
      <c r="D574" s="131"/>
      <c r="E574" s="131"/>
      <c r="F574" s="131"/>
      <c r="G574" s="133"/>
      <c r="H574" s="132"/>
      <c r="I574" s="133"/>
      <c r="J574" s="133"/>
      <c r="K574" s="137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>
      <c r="A575" s="2"/>
      <c r="B575" s="131"/>
      <c r="C575" s="131"/>
      <c r="D575" s="131"/>
      <c r="E575" s="131"/>
      <c r="F575" s="131"/>
      <c r="G575" s="133"/>
      <c r="H575" s="132"/>
      <c r="I575" s="133"/>
      <c r="J575" s="133"/>
      <c r="K575" s="137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>
      <c r="A576" s="2"/>
      <c r="B576" s="131"/>
      <c r="C576" s="131"/>
      <c r="D576" s="131"/>
      <c r="E576" s="131"/>
      <c r="F576" s="131"/>
      <c r="G576" s="133"/>
      <c r="H576" s="132"/>
      <c r="I576" s="133"/>
      <c r="J576" s="133"/>
      <c r="K576" s="137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>
      <c r="A577" s="2"/>
      <c r="B577" s="131"/>
      <c r="C577" s="131"/>
      <c r="D577" s="131"/>
      <c r="E577" s="131"/>
      <c r="F577" s="131"/>
      <c r="G577" s="133"/>
      <c r="H577" s="132"/>
      <c r="I577" s="133"/>
      <c r="J577" s="133"/>
      <c r="K577" s="137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>
      <c r="A578" s="2"/>
      <c r="B578" s="131"/>
      <c r="C578" s="131"/>
      <c r="D578" s="131"/>
      <c r="E578" s="131"/>
      <c r="F578" s="131"/>
      <c r="G578" s="133"/>
      <c r="H578" s="132"/>
      <c r="I578" s="133"/>
      <c r="J578" s="133"/>
      <c r="K578" s="137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>
      <c r="A579" s="2"/>
      <c r="B579" s="131"/>
      <c r="C579" s="131"/>
      <c r="D579" s="131"/>
      <c r="E579" s="131"/>
      <c r="F579" s="131"/>
      <c r="G579" s="133"/>
      <c r="H579" s="132"/>
      <c r="I579" s="133"/>
      <c r="J579" s="133"/>
      <c r="K579" s="137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>
      <c r="A580" s="2"/>
      <c r="B580" s="131"/>
      <c r="C580" s="131"/>
      <c r="D580" s="131"/>
      <c r="E580" s="131"/>
      <c r="F580" s="131"/>
      <c r="G580" s="133"/>
      <c r="H580" s="132"/>
      <c r="I580" s="133"/>
      <c r="J580" s="133"/>
      <c r="K580" s="137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>
      <c r="A581" s="2"/>
      <c r="B581" s="131"/>
      <c r="C581" s="131"/>
      <c r="D581" s="131"/>
      <c r="E581" s="131"/>
      <c r="F581" s="131"/>
      <c r="G581" s="133"/>
      <c r="H581" s="132"/>
      <c r="I581" s="133"/>
      <c r="J581" s="133"/>
      <c r="K581" s="137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>
      <c r="A582" s="2"/>
      <c r="B582" s="131"/>
      <c r="C582" s="131"/>
      <c r="D582" s="131"/>
      <c r="E582" s="131"/>
      <c r="F582" s="131"/>
      <c r="G582" s="133"/>
      <c r="H582" s="132"/>
      <c r="I582" s="133"/>
      <c r="J582" s="133"/>
      <c r="K582" s="137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>
      <c r="A583" s="2"/>
      <c r="B583" s="131"/>
      <c r="C583" s="131"/>
      <c r="D583" s="131"/>
      <c r="E583" s="131"/>
      <c r="F583" s="131"/>
      <c r="G583" s="133"/>
      <c r="H583" s="132"/>
      <c r="I583" s="133"/>
      <c r="J583" s="133"/>
      <c r="K583" s="137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>
      <c r="A584" s="2"/>
      <c r="B584" s="131"/>
      <c r="C584" s="131"/>
      <c r="D584" s="131"/>
      <c r="E584" s="131"/>
      <c r="F584" s="131"/>
      <c r="G584" s="133"/>
      <c r="H584" s="132"/>
      <c r="I584" s="133"/>
      <c r="J584" s="133"/>
      <c r="K584" s="137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>
      <c r="A585" s="2"/>
      <c r="B585" s="131"/>
      <c r="C585" s="131"/>
      <c r="D585" s="131"/>
      <c r="E585" s="131"/>
      <c r="F585" s="131"/>
      <c r="G585" s="133"/>
      <c r="H585" s="132"/>
      <c r="I585" s="133"/>
      <c r="J585" s="133"/>
      <c r="K585" s="137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>
      <c r="A586" s="2"/>
      <c r="B586" s="131"/>
      <c r="C586" s="131"/>
      <c r="D586" s="131"/>
      <c r="E586" s="131"/>
      <c r="F586" s="131"/>
      <c r="G586" s="133"/>
      <c r="H586" s="132"/>
      <c r="I586" s="133"/>
      <c r="J586" s="133"/>
      <c r="K586" s="137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>
      <c r="A587" s="2"/>
      <c r="B587" s="131"/>
      <c r="C587" s="131"/>
      <c r="D587" s="131"/>
      <c r="E587" s="131"/>
      <c r="F587" s="131"/>
      <c r="G587" s="133"/>
      <c r="H587" s="132"/>
      <c r="I587" s="133"/>
      <c r="J587" s="133"/>
      <c r="K587" s="137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>
      <c r="A588" s="2"/>
      <c r="B588" s="131"/>
      <c r="C588" s="131"/>
      <c r="D588" s="131"/>
      <c r="E588" s="131"/>
      <c r="F588" s="131"/>
      <c r="G588" s="133"/>
      <c r="H588" s="132"/>
      <c r="I588" s="133"/>
      <c r="J588" s="133"/>
      <c r="K588" s="137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>
      <c r="A589" s="2"/>
      <c r="B589" s="131"/>
      <c r="C589" s="131"/>
      <c r="D589" s="131"/>
      <c r="E589" s="131"/>
      <c r="F589" s="131"/>
      <c r="G589" s="133"/>
      <c r="H589" s="132"/>
      <c r="I589" s="133"/>
      <c r="J589" s="133"/>
      <c r="K589" s="137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>
      <c r="A590" s="2"/>
      <c r="B590" s="131"/>
      <c r="C590" s="131"/>
      <c r="D590" s="131"/>
      <c r="E590" s="131"/>
      <c r="F590" s="131"/>
      <c r="G590" s="133"/>
      <c r="H590" s="132"/>
      <c r="I590" s="133"/>
      <c r="J590" s="133"/>
      <c r="K590" s="137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>
      <c r="A591" s="2"/>
      <c r="B591" s="131"/>
      <c r="C591" s="131"/>
      <c r="D591" s="131"/>
      <c r="E591" s="131"/>
      <c r="F591" s="131"/>
      <c r="G591" s="133"/>
      <c r="H591" s="132"/>
      <c r="I591" s="133"/>
      <c r="J591" s="133"/>
      <c r="K591" s="137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>
      <c r="A592" s="2"/>
      <c r="B592" s="131"/>
      <c r="C592" s="131"/>
      <c r="D592" s="131"/>
      <c r="E592" s="131"/>
      <c r="F592" s="131"/>
      <c r="G592" s="133"/>
      <c r="H592" s="132"/>
      <c r="I592" s="133"/>
      <c r="J592" s="133"/>
      <c r="K592" s="137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>
      <c r="A593" s="2"/>
      <c r="B593" s="131"/>
      <c r="C593" s="131"/>
      <c r="D593" s="131"/>
      <c r="E593" s="131"/>
      <c r="F593" s="131"/>
      <c r="G593" s="133"/>
      <c r="H593" s="132"/>
      <c r="I593" s="133"/>
      <c r="J593" s="133"/>
      <c r="K593" s="137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>
      <c r="A594" s="2"/>
      <c r="B594" s="131"/>
      <c r="C594" s="131"/>
      <c r="D594" s="131"/>
      <c r="E594" s="131"/>
      <c r="F594" s="131"/>
      <c r="G594" s="133"/>
      <c r="H594" s="132"/>
      <c r="I594" s="133"/>
      <c r="J594" s="133"/>
      <c r="K594" s="137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>
      <c r="A595" s="2"/>
      <c r="B595" s="131"/>
      <c r="C595" s="131"/>
      <c r="D595" s="131"/>
      <c r="E595" s="131"/>
      <c r="F595" s="131"/>
      <c r="G595" s="133"/>
      <c r="H595" s="132"/>
      <c r="I595" s="133"/>
      <c r="J595" s="133"/>
      <c r="K595" s="137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>
      <c r="A596" s="2"/>
      <c r="B596" s="131"/>
      <c r="C596" s="131"/>
      <c r="D596" s="131"/>
      <c r="E596" s="131"/>
      <c r="F596" s="131"/>
      <c r="G596" s="133"/>
      <c r="H596" s="132"/>
      <c r="I596" s="133"/>
      <c r="J596" s="133"/>
      <c r="K596" s="137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>
      <c r="A597" s="2"/>
      <c r="B597" s="131"/>
      <c r="C597" s="131"/>
      <c r="D597" s="131"/>
      <c r="E597" s="131"/>
      <c r="F597" s="131"/>
      <c r="G597" s="133"/>
      <c r="H597" s="132"/>
      <c r="I597" s="133"/>
      <c r="J597" s="133"/>
      <c r="K597" s="137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>
      <c r="A598" s="2"/>
      <c r="B598" s="131"/>
      <c r="C598" s="131"/>
      <c r="D598" s="131"/>
      <c r="E598" s="131"/>
      <c r="F598" s="131"/>
      <c r="G598" s="133"/>
      <c r="H598" s="132"/>
      <c r="I598" s="133"/>
      <c r="J598" s="133"/>
      <c r="K598" s="137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>
      <c r="A599" s="2"/>
      <c r="B599" s="131"/>
      <c r="C599" s="131"/>
      <c r="D599" s="131"/>
      <c r="E599" s="131"/>
      <c r="F599" s="131"/>
      <c r="G599" s="133"/>
      <c r="H599" s="132"/>
      <c r="I599" s="133"/>
      <c r="J599" s="133"/>
      <c r="K599" s="137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>
      <c r="A600" s="2"/>
      <c r="B600" s="131"/>
      <c r="C600" s="131"/>
      <c r="D600" s="131"/>
      <c r="E600" s="131"/>
      <c r="F600" s="131"/>
      <c r="G600" s="133"/>
      <c r="H600" s="132"/>
      <c r="I600" s="133"/>
      <c r="J600" s="133"/>
      <c r="K600" s="137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>
      <c r="A601" s="2"/>
      <c r="B601" s="131"/>
      <c r="C601" s="131"/>
      <c r="D601" s="131"/>
      <c r="E601" s="131"/>
      <c r="F601" s="131"/>
      <c r="G601" s="133"/>
      <c r="H601" s="132"/>
      <c r="I601" s="133"/>
      <c r="J601" s="133"/>
      <c r="K601" s="137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>
      <c r="A602" s="2"/>
      <c r="B602" s="131"/>
      <c r="C602" s="131"/>
      <c r="D602" s="131"/>
      <c r="E602" s="131"/>
      <c r="F602" s="131"/>
      <c r="G602" s="133"/>
      <c r="H602" s="132"/>
      <c r="I602" s="133"/>
      <c r="J602" s="133"/>
      <c r="K602" s="137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>
      <c r="A603" s="2"/>
      <c r="B603" s="131"/>
      <c r="C603" s="131"/>
      <c r="D603" s="131"/>
      <c r="E603" s="131"/>
      <c r="F603" s="131"/>
      <c r="G603" s="133"/>
      <c r="H603" s="132"/>
      <c r="I603" s="133"/>
      <c r="J603" s="133"/>
      <c r="K603" s="137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>
      <c r="A604" s="2"/>
      <c r="B604" s="131"/>
      <c r="C604" s="131"/>
      <c r="D604" s="131"/>
      <c r="E604" s="131"/>
      <c r="F604" s="131"/>
      <c r="G604" s="133"/>
      <c r="H604" s="132"/>
      <c r="I604" s="133"/>
      <c r="J604" s="133"/>
      <c r="K604" s="137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>
      <c r="A605" s="2"/>
      <c r="B605" s="131"/>
      <c r="C605" s="131"/>
      <c r="D605" s="131"/>
      <c r="E605" s="131"/>
      <c r="F605" s="131"/>
      <c r="G605" s="133"/>
      <c r="H605" s="132"/>
      <c r="I605" s="133"/>
      <c r="J605" s="133"/>
      <c r="K605" s="137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>
      <c r="A606" s="2"/>
      <c r="B606" s="131"/>
      <c r="C606" s="131"/>
      <c r="D606" s="131"/>
      <c r="E606" s="131"/>
      <c r="F606" s="131"/>
      <c r="G606" s="133"/>
      <c r="H606" s="132"/>
      <c r="I606" s="133"/>
      <c r="J606" s="133"/>
      <c r="K606" s="137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>
      <c r="A607" s="2"/>
      <c r="B607" s="131"/>
      <c r="C607" s="131"/>
      <c r="D607" s="131"/>
      <c r="E607" s="131"/>
      <c r="F607" s="131"/>
      <c r="G607" s="133"/>
      <c r="H607" s="132"/>
      <c r="I607" s="133"/>
      <c r="J607" s="133"/>
      <c r="K607" s="137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>
      <c r="A608" s="2"/>
      <c r="B608" s="131"/>
      <c r="C608" s="131"/>
      <c r="D608" s="131"/>
      <c r="E608" s="131"/>
      <c r="F608" s="131"/>
      <c r="G608" s="133"/>
      <c r="H608" s="132"/>
      <c r="I608" s="133"/>
      <c r="J608" s="133"/>
      <c r="K608" s="137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>
      <c r="A609" s="2"/>
      <c r="B609" s="131"/>
      <c r="C609" s="131"/>
      <c r="D609" s="131"/>
      <c r="E609" s="131"/>
      <c r="F609" s="131"/>
      <c r="G609" s="133"/>
      <c r="H609" s="132"/>
      <c r="I609" s="133"/>
      <c r="J609" s="133"/>
      <c r="K609" s="137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>
      <c r="A610" s="2"/>
      <c r="B610" s="131"/>
      <c r="C610" s="131"/>
      <c r="D610" s="131"/>
      <c r="E610" s="131"/>
      <c r="F610" s="131"/>
      <c r="G610" s="133"/>
      <c r="H610" s="132"/>
      <c r="I610" s="133"/>
      <c r="J610" s="133"/>
      <c r="K610" s="137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>
      <c r="A611" s="2"/>
      <c r="B611" s="131"/>
      <c r="C611" s="131"/>
      <c r="D611" s="131"/>
      <c r="E611" s="131"/>
      <c r="F611" s="131"/>
      <c r="G611" s="133"/>
      <c r="H611" s="132"/>
      <c r="I611" s="133"/>
      <c r="J611" s="133"/>
      <c r="K611" s="137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>
      <c r="A612" s="2"/>
      <c r="B612" s="131"/>
      <c r="C612" s="131"/>
      <c r="D612" s="131"/>
      <c r="E612" s="131"/>
      <c r="F612" s="131"/>
      <c r="G612" s="133"/>
      <c r="H612" s="132"/>
      <c r="I612" s="133"/>
      <c r="J612" s="133"/>
      <c r="K612" s="137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>
      <c r="A613" s="2"/>
      <c r="B613" s="131"/>
      <c r="C613" s="131"/>
      <c r="D613" s="131"/>
      <c r="E613" s="131"/>
      <c r="F613" s="131"/>
      <c r="G613" s="133"/>
      <c r="H613" s="132"/>
      <c r="I613" s="133"/>
      <c r="J613" s="133"/>
      <c r="K613" s="137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>
      <c r="A614" s="2"/>
      <c r="B614" s="131"/>
      <c r="C614" s="131"/>
      <c r="D614" s="131"/>
      <c r="E614" s="131"/>
      <c r="F614" s="131"/>
      <c r="G614" s="133"/>
      <c r="H614" s="132"/>
      <c r="I614" s="133"/>
      <c r="J614" s="133"/>
      <c r="K614" s="137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>
      <c r="A615" s="2"/>
      <c r="B615" s="131"/>
      <c r="C615" s="131"/>
      <c r="D615" s="131"/>
      <c r="E615" s="131"/>
      <c r="F615" s="131"/>
      <c r="G615" s="133"/>
      <c r="H615" s="132"/>
      <c r="I615" s="133"/>
      <c r="J615" s="133"/>
      <c r="K615" s="137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>
      <c r="A616" s="2"/>
      <c r="B616" s="131"/>
      <c r="C616" s="131"/>
      <c r="D616" s="131"/>
      <c r="E616" s="131"/>
      <c r="F616" s="131"/>
      <c r="G616" s="133"/>
      <c r="H616" s="132"/>
      <c r="I616" s="133"/>
      <c r="J616" s="133"/>
      <c r="K616" s="137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>
      <c r="A617" s="2"/>
      <c r="B617" s="131"/>
      <c r="C617" s="131"/>
      <c r="D617" s="131"/>
      <c r="E617" s="131"/>
      <c r="F617" s="131"/>
      <c r="G617" s="133"/>
      <c r="H617" s="132"/>
      <c r="I617" s="133"/>
      <c r="J617" s="133"/>
      <c r="K617" s="137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>
      <c r="A618" s="2"/>
      <c r="B618" s="131"/>
      <c r="C618" s="131"/>
      <c r="D618" s="131"/>
      <c r="E618" s="131"/>
      <c r="F618" s="131"/>
      <c r="G618" s="133"/>
      <c r="H618" s="132"/>
      <c r="I618" s="133"/>
      <c r="J618" s="133"/>
      <c r="K618" s="137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>
      <c r="A619" s="2"/>
      <c r="B619" s="131"/>
      <c r="C619" s="131"/>
      <c r="D619" s="131"/>
      <c r="E619" s="131"/>
      <c r="F619" s="131"/>
      <c r="G619" s="133"/>
      <c r="H619" s="132"/>
      <c r="I619" s="133"/>
      <c r="J619" s="133"/>
      <c r="K619" s="137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>
      <c r="A620" s="2"/>
      <c r="B620" s="131"/>
      <c r="C620" s="131"/>
      <c r="D620" s="131"/>
      <c r="E620" s="131"/>
      <c r="F620" s="131"/>
      <c r="G620" s="133"/>
      <c r="H620" s="132"/>
      <c r="I620" s="133"/>
      <c r="J620" s="133"/>
      <c r="K620" s="137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>
      <c r="A621" s="2"/>
      <c r="B621" s="131"/>
      <c r="C621" s="131"/>
      <c r="D621" s="131"/>
      <c r="E621" s="131"/>
      <c r="F621" s="131"/>
      <c r="G621" s="133"/>
      <c r="H621" s="132"/>
      <c r="I621" s="133"/>
      <c r="J621" s="133"/>
      <c r="K621" s="137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>
      <c r="A622" s="2"/>
      <c r="B622" s="131"/>
      <c r="C622" s="131"/>
      <c r="D622" s="131"/>
      <c r="E622" s="131"/>
      <c r="F622" s="131"/>
      <c r="G622" s="133"/>
      <c r="H622" s="132"/>
      <c r="I622" s="133"/>
      <c r="J622" s="133"/>
      <c r="K622" s="137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>
      <c r="A623" s="2"/>
      <c r="B623" s="131"/>
      <c r="C623" s="131"/>
      <c r="D623" s="131"/>
      <c r="E623" s="131"/>
      <c r="F623" s="131"/>
      <c r="G623" s="133"/>
      <c r="H623" s="132"/>
      <c r="I623" s="133"/>
      <c r="J623" s="133"/>
      <c r="K623" s="137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>
      <c r="A624" s="2"/>
      <c r="B624" s="131"/>
      <c r="C624" s="131"/>
      <c r="D624" s="131"/>
      <c r="E624" s="131"/>
      <c r="F624" s="131"/>
      <c r="G624" s="133"/>
      <c r="H624" s="132"/>
      <c r="I624" s="133"/>
      <c r="J624" s="133"/>
      <c r="K624" s="137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>
      <c r="A625" s="2"/>
      <c r="B625" s="131"/>
      <c r="C625" s="131"/>
      <c r="D625" s="131"/>
      <c r="E625" s="131"/>
      <c r="F625" s="131"/>
      <c r="G625" s="133"/>
      <c r="H625" s="132"/>
      <c r="I625" s="133"/>
      <c r="J625" s="133"/>
      <c r="K625" s="137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>
      <c r="A626" s="2"/>
      <c r="B626" s="131"/>
      <c r="C626" s="131"/>
      <c r="D626" s="131"/>
      <c r="E626" s="131"/>
      <c r="F626" s="131"/>
      <c r="G626" s="133"/>
      <c r="H626" s="132"/>
      <c r="I626" s="133"/>
      <c r="J626" s="133"/>
      <c r="K626" s="137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>
      <c r="A627" s="2"/>
      <c r="B627" s="131"/>
      <c r="C627" s="131"/>
      <c r="D627" s="131"/>
      <c r="E627" s="131"/>
      <c r="F627" s="131"/>
      <c r="G627" s="133"/>
      <c r="H627" s="132"/>
      <c r="I627" s="133"/>
      <c r="J627" s="133"/>
      <c r="K627" s="137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>
      <c r="A628" s="2"/>
      <c r="B628" s="131"/>
      <c r="C628" s="131"/>
      <c r="D628" s="131"/>
      <c r="E628" s="131"/>
      <c r="F628" s="131"/>
      <c r="G628" s="133"/>
      <c r="H628" s="132"/>
      <c r="I628" s="133"/>
      <c r="J628" s="133"/>
      <c r="K628" s="137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>
      <c r="A629" s="2"/>
      <c r="B629" s="131"/>
      <c r="C629" s="131"/>
      <c r="D629" s="131"/>
      <c r="E629" s="131"/>
      <c r="F629" s="131"/>
      <c r="G629" s="133"/>
      <c r="H629" s="132"/>
      <c r="I629" s="133"/>
      <c r="J629" s="133"/>
      <c r="K629" s="137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>
      <c r="A630" s="2"/>
      <c r="B630" s="131"/>
      <c r="C630" s="131"/>
      <c r="D630" s="131"/>
      <c r="E630" s="131"/>
      <c r="F630" s="131"/>
      <c r="G630" s="133"/>
      <c r="H630" s="132"/>
      <c r="I630" s="133"/>
      <c r="J630" s="133"/>
      <c r="K630" s="137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>
      <c r="A631" s="2"/>
      <c r="B631" s="131"/>
      <c r="C631" s="131"/>
      <c r="D631" s="131"/>
      <c r="E631" s="131"/>
      <c r="F631" s="131"/>
      <c r="G631" s="133"/>
      <c r="H631" s="132"/>
      <c r="I631" s="133"/>
      <c r="J631" s="133"/>
      <c r="K631" s="137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>
      <c r="A632" s="2"/>
      <c r="B632" s="131"/>
      <c r="C632" s="131"/>
      <c r="D632" s="131"/>
      <c r="E632" s="131"/>
      <c r="F632" s="131"/>
      <c r="G632" s="133"/>
      <c r="H632" s="132"/>
      <c r="I632" s="133"/>
      <c r="J632" s="133"/>
      <c r="K632" s="137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>
      <c r="A633" s="2"/>
      <c r="B633" s="131"/>
      <c r="C633" s="131"/>
      <c r="D633" s="131"/>
      <c r="E633" s="131"/>
      <c r="F633" s="131"/>
      <c r="G633" s="133"/>
      <c r="H633" s="132"/>
      <c r="I633" s="133"/>
      <c r="J633" s="133"/>
      <c r="K633" s="137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>
      <c r="A634" s="2"/>
      <c r="B634" s="131"/>
      <c r="C634" s="131"/>
      <c r="D634" s="131"/>
      <c r="E634" s="131"/>
      <c r="F634" s="131"/>
      <c r="G634" s="133"/>
      <c r="H634" s="132"/>
      <c r="I634" s="133"/>
      <c r="J634" s="133"/>
      <c r="K634" s="137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>
      <c r="A635" s="2"/>
      <c r="B635" s="131"/>
      <c r="C635" s="131"/>
      <c r="D635" s="131"/>
      <c r="E635" s="131"/>
      <c r="F635" s="131"/>
      <c r="G635" s="133"/>
      <c r="H635" s="132"/>
      <c r="I635" s="133"/>
      <c r="J635" s="133"/>
      <c r="K635" s="137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>
      <c r="A636" s="2"/>
      <c r="B636" s="131"/>
      <c r="C636" s="131"/>
      <c r="D636" s="131"/>
      <c r="E636" s="131"/>
      <c r="F636" s="131"/>
      <c r="G636" s="133"/>
      <c r="H636" s="132"/>
      <c r="I636" s="133"/>
      <c r="J636" s="133"/>
      <c r="K636" s="137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>
      <c r="A637" s="2"/>
      <c r="B637" s="131"/>
      <c r="C637" s="131"/>
      <c r="D637" s="131"/>
      <c r="E637" s="131"/>
      <c r="F637" s="131"/>
      <c r="G637" s="133"/>
      <c r="H637" s="132"/>
      <c r="I637" s="133"/>
      <c r="J637" s="133"/>
      <c r="K637" s="137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>
      <c r="A638" s="2"/>
      <c r="B638" s="131"/>
      <c r="C638" s="131"/>
      <c r="D638" s="131"/>
      <c r="E638" s="131"/>
      <c r="F638" s="131"/>
      <c r="G638" s="133"/>
      <c r="H638" s="132"/>
      <c r="I638" s="133"/>
      <c r="J638" s="133"/>
      <c r="K638" s="137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>
      <c r="A639" s="2"/>
      <c r="B639" s="131"/>
      <c r="C639" s="131"/>
      <c r="D639" s="131"/>
      <c r="E639" s="131"/>
      <c r="F639" s="131"/>
      <c r="G639" s="133"/>
      <c r="H639" s="132"/>
      <c r="I639" s="133"/>
      <c r="J639" s="133"/>
      <c r="K639" s="137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>
      <c r="A640" s="2"/>
      <c r="B640" s="131"/>
      <c r="C640" s="131"/>
      <c r="D640" s="131"/>
      <c r="E640" s="131"/>
      <c r="F640" s="131"/>
      <c r="G640" s="133"/>
      <c r="H640" s="132"/>
      <c r="I640" s="133"/>
      <c r="J640" s="133"/>
      <c r="K640" s="137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>
      <c r="A641" s="2"/>
      <c r="B641" s="131"/>
      <c r="C641" s="131"/>
      <c r="D641" s="131"/>
      <c r="E641" s="131"/>
      <c r="F641" s="131"/>
      <c r="G641" s="133"/>
      <c r="H641" s="132"/>
      <c r="I641" s="133"/>
      <c r="J641" s="133"/>
      <c r="K641" s="137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>
      <c r="A642" s="2"/>
      <c r="B642" s="131"/>
      <c r="C642" s="131"/>
      <c r="D642" s="131"/>
      <c r="E642" s="131"/>
      <c r="F642" s="131"/>
      <c r="G642" s="133"/>
      <c r="H642" s="132"/>
      <c r="I642" s="133"/>
      <c r="J642" s="133"/>
      <c r="K642" s="137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>
      <c r="A643" s="2"/>
      <c r="B643" s="131"/>
      <c r="C643" s="131"/>
      <c r="D643" s="131"/>
      <c r="E643" s="131"/>
      <c r="F643" s="131"/>
      <c r="G643" s="133"/>
      <c r="H643" s="132"/>
      <c r="I643" s="133"/>
      <c r="J643" s="133"/>
      <c r="K643" s="137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>
      <c r="A644" s="2"/>
      <c r="B644" s="131"/>
      <c r="C644" s="131"/>
      <c r="D644" s="131"/>
      <c r="E644" s="131"/>
      <c r="F644" s="131"/>
      <c r="G644" s="133"/>
      <c r="H644" s="132"/>
      <c r="I644" s="133"/>
      <c r="J644" s="133"/>
      <c r="K644" s="137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>
      <c r="A645" s="2"/>
      <c r="B645" s="131"/>
      <c r="C645" s="131"/>
      <c r="D645" s="131"/>
      <c r="E645" s="131"/>
      <c r="F645" s="131"/>
      <c r="G645" s="133"/>
      <c r="H645" s="132"/>
      <c r="I645" s="133"/>
      <c r="J645" s="133"/>
      <c r="K645" s="137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>
      <c r="A646" s="2"/>
      <c r="B646" s="131"/>
      <c r="C646" s="131"/>
      <c r="D646" s="131"/>
      <c r="E646" s="131"/>
      <c r="F646" s="131"/>
      <c r="G646" s="133"/>
      <c r="H646" s="132"/>
      <c r="I646" s="133"/>
      <c r="J646" s="133"/>
      <c r="K646" s="137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>
      <c r="A647" s="2"/>
      <c r="B647" s="131"/>
      <c r="C647" s="131"/>
      <c r="D647" s="131"/>
      <c r="E647" s="131"/>
      <c r="F647" s="131"/>
      <c r="G647" s="133"/>
      <c r="H647" s="132"/>
      <c r="I647" s="133"/>
      <c r="J647" s="133"/>
      <c r="K647" s="137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>
      <c r="A648" s="2"/>
      <c r="B648" s="131"/>
      <c r="C648" s="131"/>
      <c r="D648" s="131"/>
      <c r="E648" s="131"/>
      <c r="F648" s="131"/>
      <c r="G648" s="133"/>
      <c r="H648" s="132"/>
      <c r="I648" s="133"/>
      <c r="J648" s="133"/>
      <c r="K648" s="137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>
      <c r="A649" s="2"/>
      <c r="B649" s="131"/>
      <c r="C649" s="131"/>
      <c r="D649" s="131"/>
      <c r="E649" s="131"/>
      <c r="F649" s="131"/>
      <c r="G649" s="133"/>
      <c r="H649" s="132"/>
      <c r="I649" s="133"/>
      <c r="J649" s="133"/>
      <c r="K649" s="137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>
      <c r="A650" s="2"/>
      <c r="B650" s="131"/>
      <c r="C650" s="131"/>
      <c r="D650" s="131"/>
      <c r="E650" s="131"/>
      <c r="F650" s="131"/>
      <c r="G650" s="133"/>
      <c r="H650" s="132"/>
      <c r="I650" s="133"/>
      <c r="J650" s="133"/>
      <c r="K650" s="137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>
      <c r="A651" s="2"/>
      <c r="B651" s="131"/>
      <c r="C651" s="131"/>
      <c r="D651" s="131"/>
      <c r="E651" s="131"/>
      <c r="F651" s="131"/>
      <c r="G651" s="133"/>
      <c r="H651" s="132"/>
      <c r="I651" s="133"/>
      <c r="J651" s="133"/>
      <c r="K651" s="137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>
      <c r="A652" s="2"/>
      <c r="B652" s="131"/>
      <c r="C652" s="131"/>
      <c r="D652" s="131"/>
      <c r="E652" s="131"/>
      <c r="F652" s="131"/>
      <c r="G652" s="133"/>
      <c r="H652" s="132"/>
      <c r="I652" s="133"/>
      <c r="J652" s="133"/>
      <c r="K652" s="137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>
      <c r="A653" s="2"/>
      <c r="B653" s="131"/>
      <c r="C653" s="131"/>
      <c r="D653" s="131"/>
      <c r="E653" s="131"/>
      <c r="F653" s="131"/>
      <c r="G653" s="133"/>
      <c r="H653" s="132"/>
      <c r="I653" s="133"/>
      <c r="J653" s="133"/>
      <c r="K653" s="137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>
      <c r="A654" s="2"/>
      <c r="B654" s="131"/>
      <c r="C654" s="131"/>
      <c r="D654" s="131"/>
      <c r="E654" s="131"/>
      <c r="F654" s="131"/>
      <c r="G654" s="133"/>
      <c r="H654" s="132"/>
      <c r="I654" s="133"/>
      <c r="J654" s="133"/>
      <c r="K654" s="137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>
      <c r="A655" s="2"/>
      <c r="B655" s="131"/>
      <c r="C655" s="131"/>
      <c r="D655" s="131"/>
      <c r="E655" s="131"/>
      <c r="F655" s="131"/>
      <c r="G655" s="133"/>
      <c r="H655" s="132"/>
      <c r="I655" s="133"/>
      <c r="J655" s="133"/>
      <c r="K655" s="137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>
      <c r="A656" s="2"/>
      <c r="B656" s="131"/>
      <c r="C656" s="131"/>
      <c r="D656" s="131"/>
      <c r="E656" s="131"/>
      <c r="F656" s="131"/>
      <c r="G656" s="133"/>
      <c r="H656" s="132"/>
      <c r="I656" s="133"/>
      <c r="J656" s="133"/>
      <c r="K656" s="137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>
      <c r="A657" s="2"/>
      <c r="B657" s="131"/>
      <c r="C657" s="131"/>
      <c r="D657" s="131"/>
      <c r="E657" s="131"/>
      <c r="F657" s="131"/>
      <c r="G657" s="133"/>
      <c r="H657" s="132"/>
      <c r="I657" s="133"/>
      <c r="J657" s="133"/>
      <c r="K657" s="137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>
      <c r="A658" s="2"/>
      <c r="B658" s="131"/>
      <c r="C658" s="131"/>
      <c r="D658" s="131"/>
      <c r="E658" s="131"/>
      <c r="F658" s="131"/>
      <c r="G658" s="133"/>
      <c r="H658" s="132"/>
      <c r="I658" s="133"/>
      <c r="J658" s="133"/>
      <c r="K658" s="137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>
      <c r="A659" s="2"/>
      <c r="B659" s="131"/>
      <c r="C659" s="131"/>
      <c r="D659" s="131"/>
      <c r="E659" s="131"/>
      <c r="F659" s="131"/>
      <c r="G659" s="133"/>
      <c r="H659" s="132"/>
      <c r="I659" s="133"/>
      <c r="J659" s="133"/>
      <c r="K659" s="137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>
      <c r="A660" s="2"/>
      <c r="B660" s="131"/>
      <c r="C660" s="131"/>
      <c r="D660" s="131"/>
      <c r="E660" s="131"/>
      <c r="F660" s="131"/>
      <c r="G660" s="133"/>
      <c r="H660" s="132"/>
      <c r="I660" s="133"/>
      <c r="J660" s="133"/>
      <c r="K660" s="137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>
      <c r="A661" s="2"/>
      <c r="B661" s="131"/>
      <c r="C661" s="131"/>
      <c r="D661" s="131"/>
      <c r="E661" s="131"/>
      <c r="F661" s="131"/>
      <c r="G661" s="133"/>
      <c r="H661" s="132"/>
      <c r="I661" s="133"/>
      <c r="J661" s="133"/>
      <c r="K661" s="137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>
      <c r="A662" s="2"/>
      <c r="B662" s="131"/>
      <c r="C662" s="131"/>
      <c r="D662" s="131"/>
      <c r="E662" s="131"/>
      <c r="F662" s="131"/>
      <c r="G662" s="133"/>
      <c r="H662" s="132"/>
      <c r="I662" s="133"/>
      <c r="J662" s="133"/>
      <c r="K662" s="137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>
      <c r="A663" s="2"/>
      <c r="B663" s="131"/>
      <c r="C663" s="131"/>
      <c r="D663" s="131"/>
      <c r="E663" s="131"/>
      <c r="F663" s="131"/>
      <c r="G663" s="133"/>
      <c r="H663" s="132"/>
      <c r="I663" s="133"/>
      <c r="J663" s="133"/>
      <c r="K663" s="137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>
      <c r="A664" s="2"/>
      <c r="B664" s="131"/>
      <c r="C664" s="131"/>
      <c r="D664" s="131"/>
      <c r="E664" s="131"/>
      <c r="F664" s="131"/>
      <c r="G664" s="133"/>
      <c r="H664" s="132"/>
      <c r="I664" s="133"/>
      <c r="J664" s="133"/>
      <c r="K664" s="137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>
      <c r="A665" s="2"/>
      <c r="B665" s="131"/>
      <c r="C665" s="131"/>
      <c r="D665" s="131"/>
      <c r="E665" s="131"/>
      <c r="F665" s="131"/>
      <c r="G665" s="133"/>
      <c r="H665" s="132"/>
      <c r="I665" s="133"/>
      <c r="J665" s="133"/>
      <c r="K665" s="137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>
      <c r="A666" s="2"/>
      <c r="B666" s="131"/>
      <c r="C666" s="131"/>
      <c r="D666" s="131"/>
      <c r="E666" s="131"/>
      <c r="F666" s="131"/>
      <c r="G666" s="133"/>
      <c r="H666" s="132"/>
      <c r="I666" s="133"/>
      <c r="J666" s="133"/>
      <c r="K666" s="137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>
      <c r="A667" s="2"/>
      <c r="B667" s="131"/>
      <c r="C667" s="131"/>
      <c r="D667" s="131"/>
      <c r="E667" s="131"/>
      <c r="F667" s="131"/>
      <c r="G667" s="133"/>
      <c r="H667" s="132"/>
      <c r="I667" s="133"/>
      <c r="J667" s="133"/>
      <c r="K667" s="137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>
      <c r="A668" s="2"/>
      <c r="B668" s="131"/>
      <c r="C668" s="131"/>
      <c r="D668" s="131"/>
      <c r="E668" s="131"/>
      <c r="F668" s="131"/>
      <c r="G668" s="133"/>
      <c r="H668" s="132"/>
      <c r="I668" s="133"/>
      <c r="J668" s="133"/>
      <c r="K668" s="137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>
      <c r="A669" s="2"/>
      <c r="B669" s="131"/>
      <c r="C669" s="131"/>
      <c r="D669" s="131"/>
      <c r="E669" s="131"/>
      <c r="F669" s="131"/>
      <c r="G669" s="133"/>
      <c r="H669" s="132"/>
      <c r="I669" s="133"/>
      <c r="J669" s="133"/>
      <c r="K669" s="137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>
      <c r="A670" s="2"/>
      <c r="B670" s="131"/>
      <c r="C670" s="131"/>
      <c r="D670" s="131"/>
      <c r="E670" s="131"/>
      <c r="F670" s="131"/>
      <c r="G670" s="133"/>
      <c r="H670" s="132"/>
      <c r="I670" s="133"/>
      <c r="J670" s="133"/>
      <c r="K670" s="137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>
      <c r="A671" s="2"/>
      <c r="B671" s="131"/>
      <c r="C671" s="131"/>
      <c r="D671" s="131"/>
      <c r="E671" s="131"/>
      <c r="F671" s="131"/>
      <c r="G671" s="133"/>
      <c r="H671" s="132"/>
      <c r="I671" s="133"/>
      <c r="J671" s="133"/>
      <c r="K671" s="137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>
      <c r="A672" s="2"/>
      <c r="B672" s="131"/>
      <c r="C672" s="131"/>
      <c r="D672" s="131"/>
      <c r="E672" s="131"/>
      <c r="F672" s="131"/>
      <c r="G672" s="133"/>
      <c r="H672" s="132"/>
      <c r="I672" s="133"/>
      <c r="J672" s="133"/>
      <c r="K672" s="137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>
      <c r="A673" s="2"/>
      <c r="B673" s="131"/>
      <c r="C673" s="131"/>
      <c r="D673" s="131"/>
      <c r="E673" s="131"/>
      <c r="F673" s="131"/>
      <c r="G673" s="133"/>
      <c r="H673" s="132"/>
      <c r="I673" s="133"/>
      <c r="J673" s="133"/>
      <c r="K673" s="137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>
      <c r="A674" s="2"/>
      <c r="B674" s="131"/>
      <c r="C674" s="131"/>
      <c r="D674" s="131"/>
      <c r="E674" s="131"/>
      <c r="F674" s="131"/>
      <c r="G674" s="133"/>
      <c r="H674" s="132"/>
      <c r="I674" s="133"/>
      <c r="J674" s="133"/>
      <c r="K674" s="137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>
      <c r="A675" s="2"/>
      <c r="B675" s="131"/>
      <c r="C675" s="131"/>
      <c r="D675" s="131"/>
      <c r="E675" s="131"/>
      <c r="F675" s="131"/>
      <c r="G675" s="133"/>
      <c r="H675" s="132"/>
      <c r="I675" s="133"/>
      <c r="J675" s="133"/>
      <c r="K675" s="137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>
      <c r="A676" s="2"/>
      <c r="B676" s="131"/>
      <c r="C676" s="131"/>
      <c r="D676" s="131"/>
      <c r="E676" s="131"/>
      <c r="F676" s="131"/>
      <c r="G676" s="133"/>
      <c r="H676" s="132"/>
      <c r="I676" s="133"/>
      <c r="J676" s="133"/>
      <c r="K676" s="137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>
      <c r="A677" s="2"/>
      <c r="B677" s="131"/>
      <c r="C677" s="131"/>
      <c r="D677" s="131"/>
      <c r="E677" s="131"/>
      <c r="F677" s="131"/>
      <c r="G677" s="133"/>
      <c r="H677" s="132"/>
      <c r="I677" s="133"/>
      <c r="J677" s="133"/>
      <c r="K677" s="137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>
      <c r="A678" s="2"/>
      <c r="B678" s="131"/>
      <c r="C678" s="131"/>
      <c r="D678" s="131"/>
      <c r="E678" s="131"/>
      <c r="F678" s="131"/>
      <c r="G678" s="133"/>
      <c r="H678" s="132"/>
      <c r="I678" s="133"/>
      <c r="J678" s="133"/>
      <c r="K678" s="137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>
      <c r="A679" s="2"/>
      <c r="B679" s="131"/>
      <c r="C679" s="131"/>
      <c r="D679" s="131"/>
      <c r="E679" s="131"/>
      <c r="F679" s="131"/>
      <c r="G679" s="133"/>
      <c r="H679" s="132"/>
      <c r="I679" s="133"/>
      <c r="J679" s="133"/>
      <c r="K679" s="137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>
      <c r="A680" s="2"/>
      <c r="B680" s="131"/>
      <c r="C680" s="131"/>
      <c r="D680" s="131"/>
      <c r="E680" s="131"/>
      <c r="F680" s="131"/>
      <c r="G680" s="133"/>
      <c r="H680" s="132"/>
      <c r="I680" s="133"/>
      <c r="J680" s="133"/>
      <c r="K680" s="137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>
      <c r="A681" s="2"/>
      <c r="B681" s="131"/>
      <c r="C681" s="131"/>
      <c r="D681" s="131"/>
      <c r="E681" s="131"/>
      <c r="F681" s="131"/>
      <c r="G681" s="133"/>
      <c r="H681" s="132"/>
      <c r="I681" s="133"/>
      <c r="J681" s="133"/>
      <c r="K681" s="137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>
      <c r="A682" s="2"/>
      <c r="B682" s="131"/>
      <c r="C682" s="131"/>
      <c r="D682" s="131"/>
      <c r="E682" s="131"/>
      <c r="F682" s="131"/>
      <c r="G682" s="133"/>
      <c r="H682" s="132"/>
      <c r="I682" s="133"/>
      <c r="J682" s="133"/>
      <c r="K682" s="137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>
      <c r="A683" s="2"/>
      <c r="B683" s="131"/>
      <c r="C683" s="131"/>
      <c r="D683" s="131"/>
      <c r="E683" s="131"/>
      <c r="F683" s="131"/>
      <c r="G683" s="133"/>
      <c r="H683" s="132"/>
      <c r="I683" s="133"/>
      <c r="J683" s="133"/>
      <c r="K683" s="137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>
      <c r="A684" s="2"/>
      <c r="B684" s="131"/>
      <c r="C684" s="131"/>
      <c r="D684" s="131"/>
      <c r="E684" s="131"/>
      <c r="F684" s="131"/>
      <c r="G684" s="133"/>
      <c r="H684" s="132"/>
      <c r="I684" s="133"/>
      <c r="J684" s="133"/>
      <c r="K684" s="137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>
      <c r="A685" s="2"/>
      <c r="B685" s="131"/>
      <c r="C685" s="131"/>
      <c r="D685" s="131"/>
      <c r="E685" s="131"/>
      <c r="F685" s="131"/>
      <c r="G685" s="133"/>
      <c r="H685" s="132"/>
      <c r="I685" s="133"/>
      <c r="J685" s="133"/>
      <c r="K685" s="137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>
      <c r="A686" s="2"/>
      <c r="B686" s="131"/>
      <c r="C686" s="131"/>
      <c r="D686" s="131"/>
      <c r="E686" s="131"/>
      <c r="F686" s="131"/>
      <c r="G686" s="133"/>
      <c r="H686" s="132"/>
      <c r="I686" s="133"/>
      <c r="J686" s="133"/>
      <c r="K686" s="137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>
      <c r="A687" s="2"/>
      <c r="B687" s="131"/>
      <c r="C687" s="131"/>
      <c r="D687" s="131"/>
      <c r="E687" s="131"/>
      <c r="F687" s="131"/>
      <c r="G687" s="133"/>
      <c r="H687" s="132"/>
      <c r="I687" s="133"/>
      <c r="J687" s="133"/>
      <c r="K687" s="137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>
      <c r="A688" s="2"/>
      <c r="B688" s="131"/>
      <c r="C688" s="131"/>
      <c r="D688" s="131"/>
      <c r="E688" s="131"/>
      <c r="F688" s="131"/>
      <c r="G688" s="133"/>
      <c r="H688" s="132"/>
      <c r="I688" s="133"/>
      <c r="J688" s="133"/>
      <c r="K688" s="137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>
      <c r="A689" s="2"/>
      <c r="B689" s="131"/>
      <c r="C689" s="131"/>
      <c r="D689" s="131"/>
      <c r="E689" s="131"/>
      <c r="F689" s="131"/>
      <c r="G689" s="133"/>
      <c r="H689" s="132"/>
      <c r="I689" s="133"/>
      <c r="J689" s="133"/>
      <c r="K689" s="137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>
      <c r="A690" s="2"/>
      <c r="B690" s="131"/>
      <c r="C690" s="131"/>
      <c r="D690" s="131"/>
      <c r="E690" s="131"/>
      <c r="F690" s="131"/>
      <c r="G690" s="133"/>
      <c r="H690" s="132"/>
      <c r="I690" s="133"/>
      <c r="J690" s="133"/>
      <c r="K690" s="137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>
      <c r="A691" s="2"/>
      <c r="B691" s="131"/>
      <c r="C691" s="131"/>
      <c r="D691" s="131"/>
      <c r="E691" s="131"/>
      <c r="F691" s="131"/>
      <c r="G691" s="133"/>
      <c r="H691" s="132"/>
      <c r="I691" s="133"/>
      <c r="J691" s="133"/>
      <c r="K691" s="137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>
      <c r="A692" s="2"/>
      <c r="B692" s="131"/>
      <c r="C692" s="131"/>
      <c r="D692" s="131"/>
      <c r="E692" s="131"/>
      <c r="F692" s="131"/>
      <c r="G692" s="133"/>
      <c r="H692" s="132"/>
      <c r="I692" s="133"/>
      <c r="J692" s="133"/>
      <c r="K692" s="137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>
      <c r="A693" s="2"/>
      <c r="B693" s="131"/>
      <c r="C693" s="131"/>
      <c r="D693" s="131"/>
      <c r="E693" s="131"/>
      <c r="F693" s="131"/>
      <c r="G693" s="133"/>
      <c r="H693" s="132"/>
      <c r="I693" s="133"/>
      <c r="J693" s="133"/>
      <c r="K693" s="137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>
      <c r="A694" s="2"/>
      <c r="B694" s="131"/>
      <c r="C694" s="131"/>
      <c r="D694" s="131"/>
      <c r="E694" s="131"/>
      <c r="F694" s="131"/>
      <c r="G694" s="133"/>
      <c r="H694" s="132"/>
      <c r="I694" s="133"/>
      <c r="J694" s="133"/>
      <c r="K694" s="137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>
      <c r="A695" s="2"/>
      <c r="B695" s="131"/>
      <c r="C695" s="131"/>
      <c r="D695" s="131"/>
      <c r="E695" s="131"/>
      <c r="F695" s="131"/>
      <c r="G695" s="133"/>
      <c r="H695" s="132"/>
      <c r="I695" s="133"/>
      <c r="J695" s="133"/>
      <c r="K695" s="137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>
      <c r="A696" s="2"/>
      <c r="B696" s="131"/>
      <c r="C696" s="131"/>
      <c r="D696" s="131"/>
      <c r="E696" s="131"/>
      <c r="F696" s="131"/>
      <c r="G696" s="133"/>
      <c r="H696" s="132"/>
      <c r="I696" s="133"/>
      <c r="J696" s="133"/>
      <c r="K696" s="137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>
      <c r="A697" s="2"/>
      <c r="B697" s="131"/>
      <c r="C697" s="131"/>
      <c r="D697" s="131"/>
      <c r="E697" s="131"/>
      <c r="F697" s="131"/>
      <c r="G697" s="133"/>
      <c r="H697" s="132"/>
      <c r="I697" s="133"/>
      <c r="J697" s="133"/>
      <c r="K697" s="137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>
      <c r="A698" s="2"/>
      <c r="B698" s="131"/>
      <c r="C698" s="131"/>
      <c r="D698" s="131"/>
      <c r="E698" s="131"/>
      <c r="F698" s="131"/>
      <c r="G698" s="133"/>
      <c r="H698" s="132"/>
      <c r="I698" s="133"/>
      <c r="J698" s="133"/>
      <c r="K698" s="137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>
      <c r="A699" s="2"/>
      <c r="B699" s="131"/>
      <c r="C699" s="131"/>
      <c r="D699" s="131"/>
      <c r="E699" s="131"/>
      <c r="F699" s="131"/>
      <c r="G699" s="133"/>
      <c r="H699" s="132"/>
      <c r="I699" s="133"/>
      <c r="J699" s="133"/>
      <c r="K699" s="137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>
      <c r="A700" s="2"/>
      <c r="B700" s="131"/>
      <c r="C700" s="131"/>
      <c r="D700" s="131"/>
      <c r="E700" s="131"/>
      <c r="F700" s="131"/>
      <c r="G700" s="133"/>
      <c r="H700" s="132"/>
      <c r="I700" s="133"/>
      <c r="J700" s="133"/>
      <c r="K700" s="137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>
      <c r="A701" s="2"/>
      <c r="B701" s="131"/>
      <c r="C701" s="131"/>
      <c r="D701" s="131"/>
      <c r="E701" s="131"/>
      <c r="F701" s="131"/>
      <c r="G701" s="133"/>
      <c r="H701" s="132"/>
      <c r="I701" s="133"/>
      <c r="J701" s="133"/>
      <c r="K701" s="137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>
      <c r="A702" s="2"/>
      <c r="B702" s="131"/>
      <c r="C702" s="131"/>
      <c r="D702" s="131"/>
      <c r="E702" s="131"/>
      <c r="F702" s="131"/>
      <c r="G702" s="133"/>
      <c r="H702" s="132"/>
      <c r="I702" s="133"/>
      <c r="J702" s="133"/>
      <c r="K702" s="137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>
      <c r="A703" s="2"/>
      <c r="B703" s="131"/>
      <c r="C703" s="131"/>
      <c r="D703" s="131"/>
      <c r="E703" s="131"/>
      <c r="F703" s="131"/>
      <c r="G703" s="133"/>
      <c r="H703" s="132"/>
      <c r="I703" s="133"/>
      <c r="J703" s="133"/>
      <c r="K703" s="137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>
      <c r="A704" s="2"/>
      <c r="B704" s="131"/>
      <c r="C704" s="131"/>
      <c r="D704" s="131"/>
      <c r="E704" s="131"/>
      <c r="F704" s="131"/>
      <c r="G704" s="133"/>
      <c r="H704" s="132"/>
      <c r="I704" s="133"/>
      <c r="J704" s="133"/>
      <c r="K704" s="137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>
      <c r="A705" s="2"/>
      <c r="B705" s="131"/>
      <c r="C705" s="131"/>
      <c r="D705" s="131"/>
      <c r="E705" s="131"/>
      <c r="F705" s="131"/>
      <c r="G705" s="133"/>
      <c r="H705" s="132"/>
      <c r="I705" s="133"/>
      <c r="J705" s="133"/>
      <c r="K705" s="137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>
      <c r="A706" s="2"/>
      <c r="B706" s="131"/>
      <c r="C706" s="131"/>
      <c r="D706" s="131"/>
      <c r="E706" s="131"/>
      <c r="F706" s="131"/>
      <c r="G706" s="133"/>
      <c r="H706" s="132"/>
      <c r="I706" s="133"/>
      <c r="J706" s="133"/>
      <c r="K706" s="137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>
      <c r="A707" s="2"/>
      <c r="B707" s="131"/>
      <c r="C707" s="131"/>
      <c r="D707" s="131"/>
      <c r="E707" s="131"/>
      <c r="F707" s="131"/>
      <c r="G707" s="133"/>
      <c r="H707" s="132"/>
      <c r="I707" s="133"/>
      <c r="J707" s="133"/>
      <c r="K707" s="137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>
      <c r="A708" s="2"/>
      <c r="B708" s="131"/>
      <c r="C708" s="131"/>
      <c r="D708" s="131"/>
      <c r="E708" s="131"/>
      <c r="F708" s="131"/>
      <c r="G708" s="133"/>
      <c r="H708" s="132"/>
      <c r="I708" s="133"/>
      <c r="J708" s="133"/>
      <c r="K708" s="137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>
      <c r="A709" s="2"/>
      <c r="B709" s="131"/>
      <c r="C709" s="131"/>
      <c r="D709" s="131"/>
      <c r="E709" s="131"/>
      <c r="F709" s="131"/>
      <c r="G709" s="133"/>
      <c r="H709" s="132"/>
      <c r="I709" s="133"/>
      <c r="J709" s="133"/>
      <c r="K709" s="137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>
      <c r="A710" s="2"/>
      <c r="B710" s="131"/>
      <c r="C710" s="131"/>
      <c r="D710" s="131"/>
      <c r="E710" s="131"/>
      <c r="F710" s="131"/>
      <c r="G710" s="133"/>
      <c r="H710" s="132"/>
      <c r="I710" s="133"/>
      <c r="J710" s="133"/>
      <c r="K710" s="137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>
      <c r="A711" s="2"/>
      <c r="B711" s="131"/>
      <c r="C711" s="131"/>
      <c r="D711" s="131"/>
      <c r="E711" s="131"/>
      <c r="F711" s="131"/>
      <c r="G711" s="133"/>
      <c r="H711" s="132"/>
      <c r="I711" s="133"/>
      <c r="J711" s="133"/>
      <c r="K711" s="137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>
      <c r="A712" s="2"/>
      <c r="B712" s="131"/>
      <c r="C712" s="131"/>
      <c r="D712" s="131"/>
      <c r="E712" s="131"/>
      <c r="F712" s="131"/>
      <c r="G712" s="133"/>
      <c r="H712" s="132"/>
      <c r="I712" s="133"/>
      <c r="J712" s="133"/>
      <c r="K712" s="137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>
      <c r="A713" s="2"/>
      <c r="B713" s="131"/>
      <c r="C713" s="131"/>
      <c r="D713" s="131"/>
      <c r="E713" s="131"/>
      <c r="F713" s="131"/>
      <c r="G713" s="133"/>
      <c r="H713" s="132"/>
      <c r="I713" s="133"/>
      <c r="J713" s="133"/>
      <c r="K713" s="137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>
      <c r="A714" s="2"/>
      <c r="B714" s="131"/>
      <c r="C714" s="131"/>
      <c r="D714" s="131"/>
      <c r="E714" s="131"/>
      <c r="F714" s="131"/>
      <c r="G714" s="133"/>
      <c r="H714" s="132"/>
      <c r="I714" s="133"/>
      <c r="J714" s="133"/>
      <c r="K714" s="137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>
      <c r="A715" s="2"/>
      <c r="B715" s="131"/>
      <c r="C715" s="131"/>
      <c r="D715" s="131"/>
      <c r="E715" s="131"/>
      <c r="F715" s="131"/>
      <c r="G715" s="133"/>
      <c r="H715" s="132"/>
      <c r="I715" s="133"/>
      <c r="J715" s="133"/>
      <c r="K715" s="137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>
      <c r="A716" s="2"/>
      <c r="B716" s="131"/>
      <c r="C716" s="131"/>
      <c r="D716" s="131"/>
      <c r="E716" s="131"/>
      <c r="F716" s="131"/>
      <c r="G716" s="133"/>
      <c r="H716" s="132"/>
      <c r="I716" s="133"/>
      <c r="J716" s="133"/>
      <c r="K716" s="137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>
      <c r="A717" s="2"/>
      <c r="B717" s="131"/>
      <c r="C717" s="131"/>
      <c r="D717" s="131"/>
      <c r="E717" s="131"/>
      <c r="F717" s="131"/>
      <c r="G717" s="133"/>
      <c r="H717" s="132"/>
      <c r="I717" s="133"/>
      <c r="J717" s="133"/>
      <c r="K717" s="137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>
      <c r="A718" s="2"/>
      <c r="B718" s="131"/>
      <c r="C718" s="131"/>
      <c r="D718" s="131"/>
      <c r="E718" s="131"/>
      <c r="F718" s="131"/>
      <c r="G718" s="133"/>
      <c r="H718" s="132"/>
      <c r="I718" s="133"/>
      <c r="J718" s="133"/>
      <c r="K718" s="137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>
      <c r="A719" s="2"/>
      <c r="B719" s="131"/>
      <c r="C719" s="131"/>
      <c r="D719" s="131"/>
      <c r="E719" s="131"/>
      <c r="F719" s="131"/>
      <c r="G719" s="133"/>
      <c r="H719" s="132"/>
      <c r="I719" s="133"/>
      <c r="J719" s="133"/>
      <c r="K719" s="137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>
      <c r="A720" s="2"/>
      <c r="B720" s="131"/>
      <c r="C720" s="131"/>
      <c r="D720" s="131"/>
      <c r="E720" s="131"/>
      <c r="F720" s="131"/>
      <c r="G720" s="133"/>
      <c r="H720" s="132"/>
      <c r="I720" s="133"/>
      <c r="J720" s="133"/>
      <c r="K720" s="137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>
      <c r="A721" s="2"/>
      <c r="B721" s="131"/>
      <c r="C721" s="131"/>
      <c r="D721" s="131"/>
      <c r="E721" s="131"/>
      <c r="F721" s="131"/>
      <c r="G721" s="133"/>
      <c r="H721" s="132"/>
      <c r="I721" s="133"/>
      <c r="J721" s="133"/>
      <c r="K721" s="137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>
      <c r="A722" s="2"/>
      <c r="B722" s="131"/>
      <c r="C722" s="131"/>
      <c r="D722" s="131"/>
      <c r="E722" s="131"/>
      <c r="F722" s="131"/>
      <c r="G722" s="133"/>
      <c r="H722" s="132"/>
      <c r="I722" s="133"/>
      <c r="J722" s="133"/>
      <c r="K722" s="137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>
      <c r="A723" s="2"/>
      <c r="B723" s="131"/>
      <c r="C723" s="131"/>
      <c r="D723" s="131"/>
      <c r="E723" s="131"/>
      <c r="F723" s="131"/>
      <c r="G723" s="133"/>
      <c r="H723" s="132"/>
      <c r="I723" s="133"/>
      <c r="J723" s="133"/>
      <c r="K723" s="137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>
      <c r="A724" s="2"/>
      <c r="B724" s="131"/>
      <c r="C724" s="131"/>
      <c r="D724" s="131"/>
      <c r="E724" s="131"/>
      <c r="F724" s="131"/>
      <c r="G724" s="133"/>
      <c r="H724" s="132"/>
      <c r="I724" s="133"/>
      <c r="J724" s="133"/>
      <c r="K724" s="13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>
      <c r="A725" s="2"/>
      <c r="B725" s="131"/>
      <c r="C725" s="131"/>
      <c r="D725" s="131"/>
      <c r="E725" s="131"/>
      <c r="F725" s="131"/>
      <c r="G725" s="133"/>
      <c r="H725" s="132"/>
      <c r="I725" s="133"/>
      <c r="J725" s="133"/>
      <c r="K725" s="137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>
      <c r="A726" s="2"/>
      <c r="B726" s="131"/>
      <c r="C726" s="131"/>
      <c r="D726" s="131"/>
      <c r="E726" s="131"/>
      <c r="F726" s="131"/>
      <c r="G726" s="133"/>
      <c r="H726" s="132"/>
      <c r="I726" s="133"/>
      <c r="J726" s="133"/>
      <c r="K726" s="137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>
      <c r="A727" s="2"/>
      <c r="B727" s="131"/>
      <c r="C727" s="131"/>
      <c r="D727" s="131"/>
      <c r="E727" s="131"/>
      <c r="F727" s="131"/>
      <c r="G727" s="133"/>
      <c r="H727" s="132"/>
      <c r="I727" s="133"/>
      <c r="J727" s="133"/>
      <c r="K727" s="13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>
      <c r="A728" s="2"/>
      <c r="B728" s="131"/>
      <c r="C728" s="131"/>
      <c r="D728" s="131"/>
      <c r="E728" s="131"/>
      <c r="F728" s="131"/>
      <c r="G728" s="133"/>
      <c r="H728" s="132"/>
      <c r="I728" s="133"/>
      <c r="J728" s="133"/>
      <c r="K728" s="137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>
      <c r="A729" s="2"/>
      <c r="B729" s="131"/>
      <c r="C729" s="131"/>
      <c r="D729" s="131"/>
      <c r="E729" s="131"/>
      <c r="F729" s="131"/>
      <c r="G729" s="133"/>
      <c r="H729" s="132"/>
      <c r="I729" s="133"/>
      <c r="J729" s="133"/>
      <c r="K729" s="137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>
      <c r="A730" s="2"/>
      <c r="B730" s="131"/>
      <c r="C730" s="131"/>
      <c r="D730" s="131"/>
      <c r="E730" s="131"/>
      <c r="F730" s="131"/>
      <c r="G730" s="133"/>
      <c r="H730" s="132"/>
      <c r="I730" s="133"/>
      <c r="J730" s="133"/>
      <c r="K730" s="137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>
      <c r="A731" s="2"/>
      <c r="B731" s="131"/>
      <c r="C731" s="131"/>
      <c r="D731" s="131"/>
      <c r="E731" s="131"/>
      <c r="F731" s="131"/>
      <c r="G731" s="133"/>
      <c r="H731" s="132"/>
      <c r="I731" s="133"/>
      <c r="J731" s="133"/>
      <c r="K731" s="137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>
      <c r="A732" s="2"/>
      <c r="B732" s="131"/>
      <c r="C732" s="131"/>
      <c r="D732" s="131"/>
      <c r="E732" s="131"/>
      <c r="F732" s="131"/>
      <c r="G732" s="133"/>
      <c r="H732" s="132"/>
      <c r="I732" s="133"/>
      <c r="J732" s="133"/>
      <c r="K732" s="137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>
      <c r="A733" s="2"/>
      <c r="B733" s="131"/>
      <c r="C733" s="131"/>
      <c r="D733" s="131"/>
      <c r="E733" s="131"/>
      <c r="F733" s="131"/>
      <c r="G733" s="133"/>
      <c r="H733" s="132"/>
      <c r="I733" s="133"/>
      <c r="J733" s="133"/>
      <c r="K733" s="137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>
      <c r="A734" s="2"/>
      <c r="B734" s="131"/>
      <c r="C734" s="131"/>
      <c r="D734" s="131"/>
      <c r="E734" s="131"/>
      <c r="F734" s="131"/>
      <c r="G734" s="133"/>
      <c r="H734" s="132"/>
      <c r="I734" s="133"/>
      <c r="J734" s="133"/>
      <c r="K734" s="137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>
      <c r="A735" s="2"/>
      <c r="B735" s="131"/>
      <c r="C735" s="131"/>
      <c r="D735" s="131"/>
      <c r="E735" s="131"/>
      <c r="F735" s="131"/>
      <c r="G735" s="133"/>
      <c r="H735" s="132"/>
      <c r="I735" s="133"/>
      <c r="J735" s="133"/>
      <c r="K735" s="137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>
      <c r="A736" s="2"/>
      <c r="B736" s="131"/>
      <c r="C736" s="131"/>
      <c r="D736" s="131"/>
      <c r="E736" s="131"/>
      <c r="F736" s="131"/>
      <c r="G736" s="133"/>
      <c r="H736" s="132"/>
      <c r="I736" s="133"/>
      <c r="J736" s="133"/>
      <c r="K736" s="137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>
      <c r="A737" s="2"/>
      <c r="B737" s="131"/>
      <c r="C737" s="131"/>
      <c r="D737" s="131"/>
      <c r="E737" s="131"/>
      <c r="F737" s="131"/>
      <c r="G737" s="133"/>
      <c r="H737" s="132"/>
      <c r="I737" s="133"/>
      <c r="J737" s="133"/>
      <c r="K737" s="137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>
      <c r="A738" s="2"/>
      <c r="B738" s="131"/>
      <c r="C738" s="131"/>
      <c r="D738" s="131"/>
      <c r="E738" s="131"/>
      <c r="F738" s="131"/>
      <c r="G738" s="133"/>
      <c r="H738" s="132"/>
      <c r="I738" s="133"/>
      <c r="J738" s="133"/>
      <c r="K738" s="137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>
      <c r="A739" s="2"/>
      <c r="B739" s="131"/>
      <c r="C739" s="131"/>
      <c r="D739" s="131"/>
      <c r="E739" s="131"/>
      <c r="F739" s="131"/>
      <c r="G739" s="133"/>
      <c r="H739" s="132"/>
      <c r="I739" s="133"/>
      <c r="J739" s="133"/>
      <c r="K739" s="137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>
      <c r="A740" s="2"/>
      <c r="B740" s="131"/>
      <c r="C740" s="131"/>
      <c r="D740" s="131"/>
      <c r="E740" s="131"/>
      <c r="F740" s="131"/>
      <c r="G740" s="133"/>
      <c r="H740" s="132"/>
      <c r="I740" s="133"/>
      <c r="J740" s="133"/>
      <c r="K740" s="137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>
      <c r="A741" s="2"/>
      <c r="B741" s="131"/>
      <c r="C741" s="131"/>
      <c r="D741" s="131"/>
      <c r="E741" s="131"/>
      <c r="F741" s="131"/>
      <c r="G741" s="133"/>
      <c r="H741" s="132"/>
      <c r="I741" s="133"/>
      <c r="J741" s="133"/>
      <c r="K741" s="137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>
      <c r="A742" s="2"/>
      <c r="B742" s="131"/>
      <c r="C742" s="131"/>
      <c r="D742" s="131"/>
      <c r="E742" s="131"/>
      <c r="F742" s="131"/>
      <c r="G742" s="133"/>
      <c r="H742" s="132"/>
      <c r="I742" s="133"/>
      <c r="J742" s="133"/>
      <c r="K742" s="137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>
      <c r="A743" s="2"/>
      <c r="B743" s="131"/>
      <c r="C743" s="131"/>
      <c r="D743" s="131"/>
      <c r="E743" s="131"/>
      <c r="F743" s="131"/>
      <c r="G743" s="133"/>
      <c r="H743" s="132"/>
      <c r="I743" s="133"/>
      <c r="J743" s="133"/>
      <c r="K743" s="137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>
      <c r="A744" s="2"/>
      <c r="B744" s="131"/>
      <c r="C744" s="131"/>
      <c r="D744" s="131"/>
      <c r="E744" s="131"/>
      <c r="F744" s="131"/>
      <c r="G744" s="133"/>
      <c r="H744" s="132"/>
      <c r="I744" s="133"/>
      <c r="J744" s="133"/>
      <c r="K744" s="137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>
      <c r="A745" s="2"/>
      <c r="B745" s="131"/>
      <c r="C745" s="131"/>
      <c r="D745" s="131"/>
      <c r="E745" s="131"/>
      <c r="F745" s="131"/>
      <c r="G745" s="133"/>
      <c r="H745" s="132"/>
      <c r="I745" s="133"/>
      <c r="J745" s="133"/>
      <c r="K745" s="137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>
      <c r="A746" s="2"/>
      <c r="B746" s="131"/>
      <c r="C746" s="131"/>
      <c r="D746" s="131"/>
      <c r="E746" s="131"/>
      <c r="F746" s="131"/>
      <c r="G746" s="133"/>
      <c r="H746" s="132"/>
      <c r="I746" s="133"/>
      <c r="J746" s="133"/>
      <c r="K746" s="137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>
      <c r="A747" s="2"/>
      <c r="B747" s="131"/>
      <c r="C747" s="131"/>
      <c r="D747" s="131"/>
      <c r="E747" s="131"/>
      <c r="F747" s="131"/>
      <c r="G747" s="133"/>
      <c r="H747" s="132"/>
      <c r="I747" s="133"/>
      <c r="J747" s="133"/>
      <c r="K747" s="137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>
      <c r="A748" s="2"/>
      <c r="B748" s="131"/>
      <c r="C748" s="131"/>
      <c r="D748" s="131"/>
      <c r="E748" s="131"/>
      <c r="F748" s="131"/>
      <c r="G748" s="133"/>
      <c r="H748" s="132"/>
      <c r="I748" s="133"/>
      <c r="J748" s="133"/>
      <c r="K748" s="137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>
      <c r="A749" s="2"/>
      <c r="B749" s="131"/>
      <c r="C749" s="131"/>
      <c r="D749" s="131"/>
      <c r="E749" s="131"/>
      <c r="F749" s="131"/>
      <c r="G749" s="133"/>
      <c r="H749" s="132"/>
      <c r="I749" s="133"/>
      <c r="J749" s="133"/>
      <c r="K749" s="137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>
      <c r="A750" s="2"/>
      <c r="B750" s="131"/>
      <c r="C750" s="131"/>
      <c r="D750" s="131"/>
      <c r="E750" s="131"/>
      <c r="F750" s="131"/>
      <c r="G750" s="133"/>
      <c r="H750" s="132"/>
      <c r="I750" s="133"/>
      <c r="J750" s="133"/>
      <c r="K750" s="137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>
      <c r="A751" s="2"/>
      <c r="B751" s="131"/>
      <c r="C751" s="131"/>
      <c r="D751" s="131"/>
      <c r="E751" s="131"/>
      <c r="F751" s="131"/>
      <c r="G751" s="133"/>
      <c r="H751" s="132"/>
      <c r="I751" s="133"/>
      <c r="J751" s="133"/>
      <c r="K751" s="137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>
      <c r="A752" s="2"/>
      <c r="B752" s="131"/>
      <c r="C752" s="131"/>
      <c r="D752" s="131"/>
      <c r="E752" s="131"/>
      <c r="F752" s="131"/>
      <c r="G752" s="133"/>
      <c r="H752" s="132"/>
      <c r="I752" s="133"/>
      <c r="J752" s="133"/>
      <c r="K752" s="137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>
      <c r="A753" s="2"/>
      <c r="B753" s="131"/>
      <c r="C753" s="131"/>
      <c r="D753" s="131"/>
      <c r="E753" s="131"/>
      <c r="F753" s="131"/>
      <c r="G753" s="133"/>
      <c r="H753" s="132"/>
      <c r="I753" s="133"/>
      <c r="J753" s="133"/>
      <c r="K753" s="137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>
      <c r="A754" s="2"/>
      <c r="B754" s="131"/>
      <c r="C754" s="131"/>
      <c r="D754" s="131"/>
      <c r="E754" s="131"/>
      <c r="F754" s="131"/>
      <c r="G754" s="133"/>
      <c r="H754" s="132"/>
      <c r="I754" s="133"/>
      <c r="J754" s="133"/>
      <c r="K754" s="137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>
      <c r="A755" s="2"/>
      <c r="B755" s="131"/>
      <c r="C755" s="131"/>
      <c r="D755" s="131"/>
      <c r="E755" s="131"/>
      <c r="F755" s="131"/>
      <c r="G755" s="133"/>
      <c r="H755" s="132"/>
      <c r="I755" s="133"/>
      <c r="J755" s="133"/>
      <c r="K755" s="137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>
      <c r="A756" s="2"/>
      <c r="B756" s="131"/>
      <c r="C756" s="131"/>
      <c r="D756" s="131"/>
      <c r="E756" s="131"/>
      <c r="F756" s="131"/>
      <c r="G756" s="133"/>
      <c r="H756" s="132"/>
      <c r="I756" s="133"/>
      <c r="J756" s="133"/>
      <c r="K756" s="137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>
      <c r="A757" s="2"/>
      <c r="B757" s="131"/>
      <c r="C757" s="131"/>
      <c r="D757" s="131"/>
      <c r="E757" s="131"/>
      <c r="F757" s="131"/>
      <c r="G757" s="133"/>
      <c r="H757" s="132"/>
      <c r="I757" s="133"/>
      <c r="J757" s="133"/>
      <c r="K757" s="137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>
      <c r="A758" s="2"/>
      <c r="B758" s="131"/>
      <c r="C758" s="131"/>
      <c r="D758" s="131"/>
      <c r="E758" s="131"/>
      <c r="F758" s="131"/>
      <c r="G758" s="133"/>
      <c r="H758" s="132"/>
      <c r="I758" s="133"/>
      <c r="J758" s="133"/>
      <c r="K758" s="137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>
      <c r="A759" s="2"/>
      <c r="B759" s="131"/>
      <c r="C759" s="131"/>
      <c r="D759" s="131"/>
      <c r="E759" s="131"/>
      <c r="F759" s="131"/>
      <c r="G759" s="133"/>
      <c r="H759" s="132"/>
      <c r="I759" s="133"/>
      <c r="J759" s="133"/>
      <c r="K759" s="137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>
      <c r="A760" s="2"/>
      <c r="B760" s="131"/>
      <c r="C760" s="131"/>
      <c r="D760" s="131"/>
      <c r="E760" s="131"/>
      <c r="F760" s="131"/>
      <c r="G760" s="133"/>
      <c r="H760" s="132"/>
      <c r="I760" s="133"/>
      <c r="J760" s="133"/>
      <c r="K760" s="137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>
      <c r="A761" s="2"/>
      <c r="B761" s="131"/>
      <c r="C761" s="131"/>
      <c r="D761" s="131"/>
      <c r="E761" s="131"/>
      <c r="F761" s="131"/>
      <c r="G761" s="133"/>
      <c r="H761" s="132"/>
      <c r="I761" s="133"/>
      <c r="J761" s="133"/>
      <c r="K761" s="137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>
      <c r="A762" s="2"/>
      <c r="B762" s="131"/>
      <c r="C762" s="131"/>
      <c r="D762" s="131"/>
      <c r="E762" s="131"/>
      <c r="F762" s="131"/>
      <c r="G762" s="133"/>
      <c r="H762" s="132"/>
      <c r="I762" s="133"/>
      <c r="J762" s="133"/>
      <c r="K762" s="137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>
      <c r="A763" s="2"/>
      <c r="B763" s="131"/>
      <c r="C763" s="131"/>
      <c r="D763" s="131"/>
      <c r="E763" s="131"/>
      <c r="F763" s="131"/>
      <c r="G763" s="133"/>
      <c r="H763" s="132"/>
      <c r="I763" s="133"/>
      <c r="J763" s="133"/>
      <c r="K763" s="137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>
      <c r="A764" s="2"/>
      <c r="B764" s="131"/>
      <c r="C764" s="131"/>
      <c r="D764" s="131"/>
      <c r="E764" s="131"/>
      <c r="F764" s="131"/>
      <c r="G764" s="133"/>
      <c r="H764" s="132"/>
      <c r="I764" s="133"/>
      <c r="J764" s="133"/>
      <c r="K764" s="137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>
      <c r="A765" s="2"/>
      <c r="B765" s="131"/>
      <c r="C765" s="131"/>
      <c r="D765" s="131"/>
      <c r="E765" s="131"/>
      <c r="F765" s="131"/>
      <c r="G765" s="133"/>
      <c r="H765" s="132"/>
      <c r="I765" s="133"/>
      <c r="J765" s="133"/>
      <c r="K765" s="137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>
      <c r="A766" s="2"/>
      <c r="B766" s="131"/>
      <c r="C766" s="131"/>
      <c r="D766" s="131"/>
      <c r="E766" s="131"/>
      <c r="F766" s="131"/>
      <c r="G766" s="133"/>
      <c r="H766" s="132"/>
      <c r="I766" s="133"/>
      <c r="J766" s="133"/>
      <c r="K766" s="137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>
      <c r="A767" s="2"/>
      <c r="B767" s="131"/>
      <c r="C767" s="131"/>
      <c r="D767" s="131"/>
      <c r="E767" s="131"/>
      <c r="F767" s="131"/>
      <c r="G767" s="133"/>
      <c r="H767" s="132"/>
      <c r="I767" s="133"/>
      <c r="J767" s="133"/>
      <c r="K767" s="137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>
      <c r="A768" s="2"/>
      <c r="B768" s="131"/>
      <c r="C768" s="131"/>
      <c r="D768" s="131"/>
      <c r="E768" s="131"/>
      <c r="F768" s="131"/>
      <c r="G768" s="133"/>
      <c r="H768" s="132"/>
      <c r="I768" s="133"/>
      <c r="J768" s="133"/>
      <c r="K768" s="137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>
      <c r="A769" s="2"/>
      <c r="B769" s="131"/>
      <c r="C769" s="131"/>
      <c r="D769" s="131"/>
      <c r="E769" s="131"/>
      <c r="F769" s="131"/>
      <c r="G769" s="133"/>
      <c r="H769" s="132"/>
      <c r="I769" s="133"/>
      <c r="J769" s="133"/>
      <c r="K769" s="137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>
      <c r="A770" s="2"/>
      <c r="B770" s="131"/>
      <c r="C770" s="131"/>
      <c r="D770" s="131"/>
      <c r="E770" s="131"/>
      <c r="F770" s="131"/>
      <c r="G770" s="133"/>
      <c r="H770" s="132"/>
      <c r="I770" s="133"/>
      <c r="J770" s="133"/>
      <c r="K770" s="137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>
      <c r="A771" s="2"/>
      <c r="B771" s="131"/>
      <c r="C771" s="131"/>
      <c r="D771" s="131"/>
      <c r="E771" s="131"/>
      <c r="F771" s="131"/>
      <c r="G771" s="133"/>
      <c r="H771" s="132"/>
      <c r="I771" s="133"/>
      <c r="J771" s="133"/>
      <c r="K771" s="137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>
      <c r="A772" s="2"/>
      <c r="B772" s="131"/>
      <c r="C772" s="131"/>
      <c r="D772" s="131"/>
      <c r="E772" s="131"/>
      <c r="F772" s="131"/>
      <c r="G772" s="133"/>
      <c r="H772" s="132"/>
      <c r="I772" s="133"/>
      <c r="J772" s="133"/>
      <c r="K772" s="137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>
      <c r="A773" s="2"/>
      <c r="B773" s="131"/>
      <c r="C773" s="131"/>
      <c r="D773" s="131"/>
      <c r="E773" s="131"/>
      <c r="F773" s="131"/>
      <c r="G773" s="133"/>
      <c r="H773" s="132"/>
      <c r="I773" s="133"/>
      <c r="J773" s="133"/>
      <c r="K773" s="137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>
      <c r="A774" s="2"/>
      <c r="B774" s="131"/>
      <c r="C774" s="131"/>
      <c r="D774" s="131"/>
      <c r="E774" s="131"/>
      <c r="F774" s="131"/>
      <c r="G774" s="133"/>
      <c r="H774" s="132"/>
      <c r="I774" s="133"/>
      <c r="J774" s="133"/>
      <c r="K774" s="137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>
      <c r="A775" s="2"/>
      <c r="B775" s="131"/>
      <c r="C775" s="131"/>
      <c r="D775" s="131"/>
      <c r="E775" s="131"/>
      <c r="F775" s="131"/>
      <c r="G775" s="133"/>
      <c r="H775" s="132"/>
      <c r="I775" s="133"/>
      <c r="J775" s="133"/>
      <c r="K775" s="137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>
      <c r="A776" s="2"/>
      <c r="B776" s="131"/>
      <c r="C776" s="131"/>
      <c r="D776" s="131"/>
      <c r="E776" s="131"/>
      <c r="F776" s="131"/>
      <c r="G776" s="133"/>
      <c r="H776" s="132"/>
      <c r="I776" s="133"/>
      <c r="J776" s="133"/>
      <c r="K776" s="137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>
      <c r="A777" s="2"/>
      <c r="B777" s="131"/>
      <c r="C777" s="131"/>
      <c r="D777" s="131"/>
      <c r="E777" s="131"/>
      <c r="F777" s="131"/>
      <c r="G777" s="133"/>
      <c r="H777" s="132"/>
      <c r="I777" s="133"/>
      <c r="J777" s="133"/>
      <c r="K777" s="137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>
      <c r="A778" s="2"/>
      <c r="B778" s="131"/>
      <c r="C778" s="131"/>
      <c r="D778" s="131"/>
      <c r="E778" s="131"/>
      <c r="F778" s="131"/>
      <c r="G778" s="133"/>
      <c r="H778" s="132"/>
      <c r="I778" s="133"/>
      <c r="J778" s="133"/>
      <c r="K778" s="137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>
      <c r="A779" s="2"/>
      <c r="B779" s="131"/>
      <c r="C779" s="131"/>
      <c r="D779" s="131"/>
      <c r="E779" s="131"/>
      <c r="F779" s="131"/>
      <c r="G779" s="133"/>
      <c r="H779" s="132"/>
      <c r="I779" s="133"/>
      <c r="J779" s="133"/>
      <c r="K779" s="137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>
      <c r="A780" s="2"/>
      <c r="B780" s="131"/>
      <c r="C780" s="131"/>
      <c r="D780" s="131"/>
      <c r="E780" s="131"/>
      <c r="F780" s="131"/>
      <c r="G780" s="133"/>
      <c r="H780" s="132"/>
      <c r="I780" s="133"/>
      <c r="J780" s="133"/>
      <c r="K780" s="137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>
      <c r="A781" s="2"/>
      <c r="B781" s="131"/>
      <c r="C781" s="131"/>
      <c r="D781" s="131"/>
      <c r="E781" s="131"/>
      <c r="F781" s="131"/>
      <c r="G781" s="133"/>
      <c r="H781" s="132"/>
      <c r="I781" s="133"/>
      <c r="J781" s="133"/>
      <c r="K781" s="137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>
      <c r="A782" s="2"/>
      <c r="B782" s="131"/>
      <c r="C782" s="131"/>
      <c r="D782" s="131"/>
      <c r="E782" s="131"/>
      <c r="F782" s="131"/>
      <c r="G782" s="133"/>
      <c r="H782" s="132"/>
      <c r="I782" s="133"/>
      <c r="J782" s="133"/>
      <c r="K782" s="137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>
      <c r="A783" s="2"/>
      <c r="B783" s="131"/>
      <c r="C783" s="131"/>
      <c r="D783" s="131"/>
      <c r="E783" s="131"/>
      <c r="F783" s="131"/>
      <c r="G783" s="133"/>
      <c r="H783" s="132"/>
      <c r="I783" s="133"/>
      <c r="J783" s="133"/>
      <c r="K783" s="137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>
      <c r="A784" s="2"/>
      <c r="B784" s="131"/>
      <c r="C784" s="131"/>
      <c r="D784" s="131"/>
      <c r="E784" s="131"/>
      <c r="F784" s="131"/>
      <c r="G784" s="133"/>
      <c r="H784" s="132"/>
      <c r="I784" s="133"/>
      <c r="J784" s="133"/>
      <c r="K784" s="137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>
      <c r="A785" s="2"/>
      <c r="B785" s="131"/>
      <c r="C785" s="131"/>
      <c r="D785" s="131"/>
      <c r="E785" s="131"/>
      <c r="F785" s="131"/>
      <c r="G785" s="133"/>
      <c r="H785" s="132"/>
      <c r="I785" s="133"/>
      <c r="J785" s="133"/>
      <c r="K785" s="137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>
      <c r="A786" s="2"/>
      <c r="B786" s="131"/>
      <c r="C786" s="131"/>
      <c r="D786" s="131"/>
      <c r="E786" s="131"/>
      <c r="F786" s="131"/>
      <c r="G786" s="133"/>
      <c r="H786" s="132"/>
      <c r="I786" s="133"/>
      <c r="J786" s="133"/>
      <c r="K786" s="137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>
      <c r="A787" s="2"/>
      <c r="B787" s="131"/>
      <c r="C787" s="131"/>
      <c r="D787" s="131"/>
      <c r="E787" s="131"/>
      <c r="F787" s="131"/>
      <c r="G787" s="133"/>
      <c r="H787" s="132"/>
      <c r="I787" s="133"/>
      <c r="J787" s="133"/>
      <c r="K787" s="137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>
      <c r="A788" s="2"/>
      <c r="B788" s="131"/>
      <c r="C788" s="131"/>
      <c r="D788" s="131"/>
      <c r="E788" s="131"/>
      <c r="F788" s="131"/>
      <c r="G788" s="133"/>
      <c r="H788" s="132"/>
      <c r="I788" s="133"/>
      <c r="J788" s="133"/>
      <c r="K788" s="137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>
      <c r="A789" s="2"/>
      <c r="B789" s="131"/>
      <c r="C789" s="131"/>
      <c r="D789" s="131"/>
      <c r="E789" s="131"/>
      <c r="F789" s="131"/>
      <c r="G789" s="133"/>
      <c r="H789" s="132"/>
      <c r="I789" s="133"/>
      <c r="J789" s="133"/>
      <c r="K789" s="137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>
      <c r="A790" s="2"/>
      <c r="B790" s="131"/>
      <c r="C790" s="131"/>
      <c r="D790" s="131"/>
      <c r="E790" s="131"/>
      <c r="F790" s="131"/>
      <c r="G790" s="133"/>
      <c r="H790" s="132"/>
      <c r="I790" s="133"/>
      <c r="J790" s="133"/>
      <c r="K790" s="137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>
      <c r="A791" s="2"/>
      <c r="B791" s="131"/>
      <c r="C791" s="131"/>
      <c r="D791" s="131"/>
      <c r="E791" s="131"/>
      <c r="F791" s="131"/>
      <c r="G791" s="133"/>
      <c r="H791" s="132"/>
      <c r="I791" s="133"/>
      <c r="J791" s="133"/>
      <c r="K791" s="137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>
      <c r="A792" s="2"/>
      <c r="B792" s="131"/>
      <c r="C792" s="131"/>
      <c r="D792" s="131"/>
      <c r="E792" s="131"/>
      <c r="F792" s="131"/>
      <c r="G792" s="133"/>
      <c r="H792" s="132"/>
      <c r="I792" s="133"/>
      <c r="J792" s="133"/>
      <c r="K792" s="137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>
      <c r="A793" s="2"/>
      <c r="B793" s="131"/>
      <c r="C793" s="131"/>
      <c r="D793" s="131"/>
      <c r="E793" s="131"/>
      <c r="F793" s="131"/>
      <c r="G793" s="133"/>
      <c r="H793" s="132"/>
      <c r="I793" s="133"/>
      <c r="J793" s="133"/>
      <c r="K793" s="137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>
      <c r="A794" s="2"/>
      <c r="B794" s="131"/>
      <c r="C794" s="131"/>
      <c r="D794" s="131"/>
      <c r="E794" s="131"/>
      <c r="F794" s="131"/>
      <c r="G794" s="133"/>
      <c r="H794" s="132"/>
      <c r="I794" s="133"/>
      <c r="J794" s="133"/>
      <c r="K794" s="137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>
      <c r="A795" s="2"/>
      <c r="B795" s="131"/>
      <c r="C795" s="131"/>
      <c r="D795" s="131"/>
      <c r="E795" s="131"/>
      <c r="F795" s="131"/>
      <c r="G795" s="133"/>
      <c r="H795" s="132"/>
      <c r="I795" s="133"/>
      <c r="J795" s="133"/>
      <c r="K795" s="137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>
      <c r="A796" s="2"/>
      <c r="B796" s="131"/>
      <c r="C796" s="131"/>
      <c r="D796" s="131"/>
      <c r="E796" s="131"/>
      <c r="F796" s="131"/>
      <c r="G796" s="133"/>
      <c r="H796" s="132"/>
      <c r="I796" s="133"/>
      <c r="J796" s="133"/>
      <c r="K796" s="137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>
      <c r="A797" s="2"/>
      <c r="B797" s="131"/>
      <c r="C797" s="131"/>
      <c r="D797" s="131"/>
      <c r="E797" s="131"/>
      <c r="F797" s="131"/>
      <c r="G797" s="133"/>
      <c r="H797" s="132"/>
      <c r="I797" s="133"/>
      <c r="J797" s="133"/>
      <c r="K797" s="137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>
      <c r="A798" s="2"/>
      <c r="B798" s="131"/>
      <c r="C798" s="131"/>
      <c r="D798" s="131"/>
      <c r="E798" s="131"/>
      <c r="F798" s="131"/>
      <c r="G798" s="133"/>
      <c r="H798" s="132"/>
      <c r="I798" s="133"/>
      <c r="J798" s="133"/>
      <c r="K798" s="137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>
      <c r="A799" s="2"/>
      <c r="B799" s="131"/>
      <c r="C799" s="131"/>
      <c r="D799" s="131"/>
      <c r="E799" s="131"/>
      <c r="F799" s="131"/>
      <c r="G799" s="133"/>
      <c r="H799" s="132"/>
      <c r="I799" s="133"/>
      <c r="J799" s="133"/>
      <c r="K799" s="137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>
      <c r="A800" s="2"/>
      <c r="B800" s="131"/>
      <c r="C800" s="131"/>
      <c r="D800" s="131"/>
      <c r="E800" s="131"/>
      <c r="F800" s="131"/>
      <c r="G800" s="133"/>
      <c r="H800" s="132"/>
      <c r="I800" s="133"/>
      <c r="J800" s="133"/>
      <c r="K800" s="137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>
      <c r="A801" s="2"/>
      <c r="B801" s="131"/>
      <c r="C801" s="131"/>
      <c r="D801" s="131"/>
      <c r="E801" s="131"/>
      <c r="F801" s="131"/>
      <c r="G801" s="133"/>
      <c r="H801" s="132"/>
      <c r="I801" s="133"/>
      <c r="J801" s="133"/>
      <c r="K801" s="137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>
      <c r="A802" s="2"/>
      <c r="B802" s="131"/>
      <c r="C802" s="131"/>
      <c r="D802" s="131"/>
      <c r="E802" s="131"/>
      <c r="F802" s="131"/>
      <c r="G802" s="133"/>
      <c r="H802" s="132"/>
      <c r="I802" s="133"/>
      <c r="J802" s="133"/>
      <c r="K802" s="137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>
      <c r="A803" s="2"/>
      <c r="B803" s="131"/>
      <c r="C803" s="131"/>
      <c r="D803" s="131"/>
      <c r="E803" s="131"/>
      <c r="F803" s="131"/>
      <c r="G803" s="133"/>
      <c r="H803" s="132"/>
      <c r="I803" s="133"/>
      <c r="J803" s="133"/>
      <c r="K803" s="137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>
      <c r="A804" s="2"/>
      <c r="B804" s="131"/>
      <c r="C804" s="131"/>
      <c r="D804" s="131"/>
      <c r="E804" s="131"/>
      <c r="F804" s="131"/>
      <c r="G804" s="133"/>
      <c r="H804" s="132"/>
      <c r="I804" s="133"/>
      <c r="J804" s="133"/>
      <c r="K804" s="137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>
      <c r="A805" s="2"/>
      <c r="B805" s="131"/>
      <c r="C805" s="131"/>
      <c r="D805" s="131"/>
      <c r="E805" s="131"/>
      <c r="F805" s="131"/>
      <c r="G805" s="133"/>
      <c r="H805" s="132"/>
      <c r="I805" s="133"/>
      <c r="J805" s="133"/>
      <c r="K805" s="137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>
      <c r="A806" s="2"/>
      <c r="B806" s="131"/>
      <c r="C806" s="131"/>
      <c r="D806" s="131"/>
      <c r="E806" s="131"/>
      <c r="F806" s="131"/>
      <c r="G806" s="133"/>
      <c r="H806" s="132"/>
      <c r="I806" s="133"/>
      <c r="J806" s="133"/>
      <c r="K806" s="137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>
      <c r="A807" s="2"/>
      <c r="B807" s="131"/>
      <c r="C807" s="131"/>
      <c r="D807" s="131"/>
      <c r="E807" s="131"/>
      <c r="F807" s="131"/>
      <c r="G807" s="133"/>
      <c r="H807" s="132"/>
      <c r="I807" s="133"/>
      <c r="J807" s="133"/>
      <c r="K807" s="137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>
      <c r="A808" s="2"/>
      <c r="B808" s="131"/>
      <c r="C808" s="131"/>
      <c r="D808" s="131"/>
      <c r="E808" s="131"/>
      <c r="F808" s="131"/>
      <c r="G808" s="133"/>
      <c r="H808" s="132"/>
      <c r="I808" s="133"/>
      <c r="J808" s="133"/>
      <c r="K808" s="137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>
      <c r="A809" s="2"/>
      <c r="B809" s="131"/>
      <c r="C809" s="131"/>
      <c r="D809" s="131"/>
      <c r="E809" s="131"/>
      <c r="F809" s="131"/>
      <c r="G809" s="133"/>
      <c r="H809" s="132"/>
      <c r="I809" s="133"/>
      <c r="J809" s="133"/>
      <c r="K809" s="137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>
      <c r="A810" s="2"/>
      <c r="B810" s="131"/>
      <c r="C810" s="131"/>
      <c r="D810" s="131"/>
      <c r="E810" s="131"/>
      <c r="F810" s="131"/>
      <c r="G810" s="133"/>
      <c r="H810" s="132"/>
      <c r="I810" s="133"/>
      <c r="J810" s="133"/>
      <c r="K810" s="137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>
      <c r="A811" s="2"/>
      <c r="B811" s="131"/>
      <c r="C811" s="131"/>
      <c r="D811" s="131"/>
      <c r="E811" s="131"/>
      <c r="F811" s="131"/>
      <c r="G811" s="133"/>
      <c r="H811" s="132"/>
      <c r="I811" s="133"/>
      <c r="J811" s="133"/>
      <c r="K811" s="137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>
      <c r="A812" s="2"/>
      <c r="B812" s="131"/>
      <c r="C812" s="131"/>
      <c r="D812" s="131"/>
      <c r="E812" s="131"/>
      <c r="F812" s="131"/>
      <c r="G812" s="133"/>
      <c r="H812" s="132"/>
      <c r="I812" s="133"/>
      <c r="J812" s="133"/>
      <c r="K812" s="137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>
      <c r="A813" s="2"/>
      <c r="B813" s="131"/>
      <c r="C813" s="131"/>
      <c r="D813" s="131"/>
      <c r="E813" s="131"/>
      <c r="F813" s="131"/>
      <c r="G813" s="133"/>
      <c r="H813" s="132"/>
      <c r="I813" s="133"/>
      <c r="J813" s="133"/>
      <c r="K813" s="137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>
      <c r="A814" s="2"/>
      <c r="B814" s="131"/>
      <c r="C814" s="131"/>
      <c r="D814" s="131"/>
      <c r="E814" s="131"/>
      <c r="F814" s="131"/>
      <c r="G814" s="133"/>
      <c r="H814" s="132"/>
      <c r="I814" s="133"/>
      <c r="J814" s="133"/>
      <c r="K814" s="137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>
      <c r="A815" s="2"/>
      <c r="B815" s="131"/>
      <c r="C815" s="131"/>
      <c r="D815" s="131"/>
      <c r="E815" s="131"/>
      <c r="F815" s="131"/>
      <c r="G815" s="133"/>
      <c r="H815" s="132"/>
      <c r="I815" s="133"/>
      <c r="J815" s="133"/>
      <c r="K815" s="137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>
      <c r="A816" s="2"/>
      <c r="B816" s="131"/>
      <c r="C816" s="131"/>
      <c r="D816" s="131"/>
      <c r="E816" s="131"/>
      <c r="F816" s="131"/>
      <c r="G816" s="133"/>
      <c r="H816" s="132"/>
      <c r="I816" s="133"/>
      <c r="J816" s="133"/>
      <c r="K816" s="137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>
      <c r="A817" s="2"/>
      <c r="B817" s="131"/>
      <c r="C817" s="131"/>
      <c r="D817" s="131"/>
      <c r="E817" s="131"/>
      <c r="F817" s="131"/>
      <c r="G817" s="133"/>
      <c r="H817" s="132"/>
      <c r="I817" s="133"/>
      <c r="J817" s="133"/>
      <c r="K817" s="137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>
      <c r="A818" s="2"/>
      <c r="B818" s="131"/>
      <c r="C818" s="131"/>
      <c r="D818" s="131"/>
      <c r="E818" s="131"/>
      <c r="F818" s="131"/>
      <c r="G818" s="133"/>
      <c r="H818" s="132"/>
      <c r="I818" s="133"/>
      <c r="J818" s="133"/>
      <c r="K818" s="137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>
      <c r="A819" s="2"/>
      <c r="B819" s="131"/>
      <c r="C819" s="131"/>
      <c r="D819" s="131"/>
      <c r="E819" s="131"/>
      <c r="F819" s="131"/>
      <c r="G819" s="133"/>
      <c r="H819" s="132"/>
      <c r="I819" s="133"/>
      <c r="J819" s="133"/>
      <c r="K819" s="137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>
      <c r="A820" s="2"/>
      <c r="B820" s="131"/>
      <c r="C820" s="131"/>
      <c r="D820" s="131"/>
      <c r="E820" s="131"/>
      <c r="F820" s="131"/>
      <c r="G820" s="133"/>
      <c r="H820" s="132"/>
      <c r="I820" s="133"/>
      <c r="J820" s="133"/>
      <c r="K820" s="137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>
      <c r="A821" s="2"/>
      <c r="B821" s="131"/>
      <c r="C821" s="131"/>
      <c r="D821" s="131"/>
      <c r="E821" s="131"/>
      <c r="F821" s="131"/>
      <c r="G821" s="133"/>
      <c r="H821" s="132"/>
      <c r="I821" s="133"/>
      <c r="J821" s="133"/>
      <c r="K821" s="137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>
      <c r="A822" s="2"/>
      <c r="B822" s="131"/>
      <c r="C822" s="131"/>
      <c r="D822" s="131"/>
      <c r="E822" s="131"/>
      <c r="F822" s="131"/>
      <c r="G822" s="133"/>
      <c r="H822" s="132"/>
      <c r="I822" s="133"/>
      <c r="J822" s="133"/>
      <c r="K822" s="137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>
      <c r="A823" s="2"/>
      <c r="B823" s="131"/>
      <c r="C823" s="131"/>
      <c r="D823" s="131"/>
      <c r="E823" s="131"/>
      <c r="F823" s="131"/>
      <c r="G823" s="133"/>
      <c r="H823" s="132"/>
      <c r="I823" s="133"/>
      <c r="J823" s="133"/>
      <c r="K823" s="137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>
      <c r="A824" s="2"/>
      <c r="B824" s="131"/>
      <c r="C824" s="131"/>
      <c r="D824" s="131"/>
      <c r="E824" s="131"/>
      <c r="F824" s="131"/>
      <c r="G824" s="133"/>
      <c r="H824" s="132"/>
      <c r="I824" s="133"/>
      <c r="J824" s="133"/>
      <c r="K824" s="137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>
      <c r="A825" s="2"/>
      <c r="B825" s="131"/>
      <c r="C825" s="131"/>
      <c r="D825" s="131"/>
      <c r="E825" s="131"/>
      <c r="F825" s="131"/>
      <c r="G825" s="133"/>
      <c r="H825" s="132"/>
      <c r="I825" s="133"/>
      <c r="J825" s="133"/>
      <c r="K825" s="137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>
      <c r="A826" s="2"/>
      <c r="B826" s="131"/>
      <c r="C826" s="131"/>
      <c r="D826" s="131"/>
      <c r="E826" s="131"/>
      <c r="F826" s="131"/>
      <c r="G826" s="133"/>
      <c r="H826" s="132"/>
      <c r="I826" s="133"/>
      <c r="J826" s="133"/>
      <c r="K826" s="137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>
      <c r="A827" s="2"/>
      <c r="B827" s="131"/>
      <c r="C827" s="131"/>
      <c r="D827" s="131"/>
      <c r="E827" s="131"/>
      <c r="F827" s="131"/>
      <c r="G827" s="133"/>
      <c r="H827" s="132"/>
      <c r="I827" s="133"/>
      <c r="J827" s="133"/>
      <c r="K827" s="137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>
      <c r="A828" s="2"/>
      <c r="B828" s="131"/>
      <c r="C828" s="131"/>
      <c r="D828" s="131"/>
      <c r="E828" s="131"/>
      <c r="F828" s="131"/>
      <c r="G828" s="133"/>
      <c r="H828" s="132"/>
      <c r="I828" s="133"/>
      <c r="J828" s="133"/>
      <c r="K828" s="137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>
      <c r="A829" s="2"/>
      <c r="B829" s="131"/>
      <c r="C829" s="131"/>
      <c r="D829" s="131"/>
      <c r="E829" s="131"/>
      <c r="F829" s="131"/>
      <c r="G829" s="133"/>
      <c r="H829" s="132"/>
      <c r="I829" s="133"/>
      <c r="J829" s="133"/>
      <c r="K829" s="137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>
      <c r="A830" s="2"/>
      <c r="B830" s="131"/>
      <c r="C830" s="131"/>
      <c r="D830" s="131"/>
      <c r="E830" s="131"/>
      <c r="F830" s="131"/>
      <c r="G830" s="133"/>
      <c r="H830" s="132"/>
      <c r="I830" s="133"/>
      <c r="J830" s="133"/>
      <c r="K830" s="137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>
      <c r="A831" s="2"/>
      <c r="B831" s="131"/>
      <c r="C831" s="131"/>
      <c r="D831" s="131"/>
      <c r="E831" s="131"/>
      <c r="F831" s="131"/>
      <c r="G831" s="133"/>
      <c r="H831" s="132"/>
      <c r="I831" s="133"/>
      <c r="J831" s="133"/>
      <c r="K831" s="137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>
      <c r="A832" s="2"/>
      <c r="B832" s="131"/>
      <c r="C832" s="131"/>
      <c r="D832" s="131"/>
      <c r="E832" s="131"/>
      <c r="F832" s="131"/>
      <c r="G832" s="133"/>
      <c r="H832" s="132"/>
      <c r="I832" s="133"/>
      <c r="J832" s="133"/>
      <c r="K832" s="137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>
      <c r="A833" s="2"/>
      <c r="B833" s="131"/>
      <c r="C833" s="131"/>
      <c r="D833" s="131"/>
      <c r="E833" s="131"/>
      <c r="F833" s="131"/>
      <c r="G833" s="133"/>
      <c r="H833" s="132"/>
      <c r="I833" s="133"/>
      <c r="J833" s="133"/>
      <c r="K833" s="137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>
      <c r="A834" s="2"/>
      <c r="B834" s="131"/>
      <c r="C834" s="131"/>
      <c r="D834" s="131"/>
      <c r="E834" s="131"/>
      <c r="F834" s="131"/>
      <c r="G834" s="133"/>
      <c r="H834" s="132"/>
      <c r="I834" s="133"/>
      <c r="J834" s="133"/>
      <c r="K834" s="137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>
      <c r="A835" s="2"/>
      <c r="B835" s="131"/>
      <c r="C835" s="131"/>
      <c r="D835" s="131"/>
      <c r="E835" s="131"/>
      <c r="F835" s="131"/>
      <c r="G835" s="133"/>
      <c r="H835" s="132"/>
      <c r="I835" s="133"/>
      <c r="J835" s="133"/>
      <c r="K835" s="137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>
      <c r="A836" s="2"/>
      <c r="B836" s="131"/>
      <c r="C836" s="131"/>
      <c r="D836" s="131"/>
      <c r="E836" s="131"/>
      <c r="F836" s="131"/>
      <c r="G836" s="133"/>
      <c r="H836" s="132"/>
      <c r="I836" s="133"/>
      <c r="J836" s="133"/>
      <c r="K836" s="137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>
      <c r="A837" s="2"/>
      <c r="B837" s="131"/>
      <c r="C837" s="131"/>
      <c r="D837" s="131"/>
      <c r="E837" s="131"/>
      <c r="F837" s="131"/>
      <c r="G837" s="133"/>
      <c r="H837" s="132"/>
      <c r="I837" s="133"/>
      <c r="J837" s="133"/>
      <c r="K837" s="137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>
      <c r="A838" s="2"/>
      <c r="B838" s="131"/>
      <c r="C838" s="131"/>
      <c r="D838" s="131"/>
      <c r="E838" s="131"/>
      <c r="F838" s="131"/>
      <c r="G838" s="133"/>
      <c r="H838" s="132"/>
      <c r="I838" s="133"/>
      <c r="J838" s="133"/>
      <c r="K838" s="137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>
      <c r="A839" s="2"/>
      <c r="B839" s="131"/>
      <c r="C839" s="131"/>
      <c r="D839" s="131"/>
      <c r="E839" s="131"/>
      <c r="F839" s="131"/>
      <c r="G839" s="133"/>
      <c r="H839" s="132"/>
      <c r="I839" s="133"/>
      <c r="J839" s="133"/>
      <c r="K839" s="137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>
      <c r="A840" s="2"/>
      <c r="B840" s="131"/>
      <c r="C840" s="131"/>
      <c r="D840" s="131"/>
      <c r="E840" s="131"/>
      <c r="F840" s="131"/>
      <c r="G840" s="133"/>
      <c r="H840" s="132"/>
      <c r="I840" s="133"/>
      <c r="J840" s="133"/>
      <c r="K840" s="137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>
      <c r="A841" s="2"/>
      <c r="B841" s="131"/>
      <c r="C841" s="131"/>
      <c r="D841" s="131"/>
      <c r="E841" s="131"/>
      <c r="F841" s="131"/>
      <c r="G841" s="133"/>
      <c r="H841" s="132"/>
      <c r="I841" s="133"/>
      <c r="J841" s="133"/>
      <c r="K841" s="137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>
      <c r="A842" s="2"/>
      <c r="B842" s="131"/>
      <c r="C842" s="131"/>
      <c r="D842" s="131"/>
      <c r="E842" s="131"/>
      <c r="F842" s="131"/>
      <c r="G842" s="133"/>
      <c r="H842" s="132"/>
      <c r="I842" s="133"/>
      <c r="J842" s="133"/>
      <c r="K842" s="137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>
      <c r="A843" s="2"/>
      <c r="B843" s="131"/>
      <c r="C843" s="131"/>
      <c r="D843" s="131"/>
      <c r="E843" s="131"/>
      <c r="F843" s="131"/>
      <c r="G843" s="133"/>
      <c r="H843" s="132"/>
      <c r="I843" s="133"/>
      <c r="J843" s="133"/>
      <c r="K843" s="137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>
      <c r="A844" s="2"/>
      <c r="B844" s="131"/>
      <c r="C844" s="131"/>
      <c r="D844" s="131"/>
      <c r="E844" s="131"/>
      <c r="F844" s="131"/>
      <c r="G844" s="133"/>
      <c r="H844" s="132"/>
      <c r="I844" s="133"/>
      <c r="J844" s="133"/>
      <c r="K844" s="137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>
      <c r="A845" s="2"/>
      <c r="B845" s="131"/>
      <c r="C845" s="131"/>
      <c r="D845" s="131"/>
      <c r="E845" s="131"/>
      <c r="F845" s="131"/>
      <c r="G845" s="133"/>
      <c r="H845" s="132"/>
      <c r="I845" s="133"/>
      <c r="J845" s="133"/>
      <c r="K845" s="137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>
      <c r="A846" s="2"/>
      <c r="B846" s="131"/>
      <c r="C846" s="131"/>
      <c r="D846" s="131"/>
      <c r="E846" s="131"/>
      <c r="F846" s="131"/>
      <c r="G846" s="133"/>
      <c r="H846" s="132"/>
      <c r="I846" s="133"/>
      <c r="J846" s="133"/>
      <c r="K846" s="137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>
      <c r="A847" s="2"/>
      <c r="B847" s="131"/>
      <c r="C847" s="131"/>
      <c r="D847" s="131"/>
      <c r="E847" s="131"/>
      <c r="F847" s="131"/>
      <c r="G847" s="133"/>
      <c r="H847" s="132"/>
      <c r="I847" s="133"/>
      <c r="J847" s="133"/>
      <c r="K847" s="137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>
      <c r="A848" s="2"/>
      <c r="B848" s="131"/>
      <c r="C848" s="131"/>
      <c r="D848" s="131"/>
      <c r="E848" s="131"/>
      <c r="F848" s="131"/>
      <c r="G848" s="133"/>
      <c r="H848" s="132"/>
      <c r="I848" s="133"/>
      <c r="J848" s="133"/>
      <c r="K848" s="137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>
      <c r="A849" s="2"/>
      <c r="B849" s="131"/>
      <c r="C849" s="131"/>
      <c r="D849" s="131"/>
      <c r="E849" s="131"/>
      <c r="F849" s="131"/>
      <c r="G849" s="133"/>
      <c r="H849" s="132"/>
      <c r="I849" s="133"/>
      <c r="J849" s="133"/>
      <c r="K849" s="137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>
      <c r="A850" s="2"/>
      <c r="B850" s="131"/>
      <c r="C850" s="131"/>
      <c r="D850" s="131"/>
      <c r="E850" s="131"/>
      <c r="F850" s="131"/>
      <c r="G850" s="133"/>
      <c r="H850" s="132"/>
      <c r="I850" s="133"/>
      <c r="J850" s="133"/>
      <c r="K850" s="137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>
      <c r="A851" s="2"/>
      <c r="B851" s="131"/>
      <c r="C851" s="131"/>
      <c r="D851" s="131"/>
      <c r="E851" s="131"/>
      <c r="F851" s="131"/>
      <c r="G851" s="133"/>
      <c r="H851" s="132"/>
      <c r="I851" s="133"/>
      <c r="J851" s="133"/>
      <c r="K851" s="137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>
      <c r="A852" s="2"/>
      <c r="B852" s="131"/>
      <c r="C852" s="131"/>
      <c r="D852" s="131"/>
      <c r="E852" s="131"/>
      <c r="F852" s="131"/>
      <c r="G852" s="133"/>
      <c r="H852" s="132"/>
      <c r="I852" s="133"/>
      <c r="J852" s="133"/>
      <c r="K852" s="137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>
      <c r="A853" s="2"/>
      <c r="B853" s="131"/>
      <c r="C853" s="131"/>
      <c r="D853" s="131"/>
      <c r="E853" s="131"/>
      <c r="F853" s="131"/>
      <c r="G853" s="133"/>
      <c r="H853" s="132"/>
      <c r="I853" s="133"/>
      <c r="J853" s="133"/>
      <c r="K853" s="137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>
      <c r="A854" s="2"/>
      <c r="B854" s="131"/>
      <c r="C854" s="131"/>
      <c r="D854" s="131"/>
      <c r="E854" s="131"/>
      <c r="F854" s="131"/>
      <c r="G854" s="133"/>
      <c r="H854" s="132"/>
      <c r="I854" s="133"/>
      <c r="J854" s="133"/>
      <c r="K854" s="137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>
      <c r="A855" s="2"/>
      <c r="B855" s="131"/>
      <c r="C855" s="131"/>
      <c r="D855" s="131"/>
      <c r="E855" s="131"/>
      <c r="F855" s="131"/>
      <c r="G855" s="133"/>
      <c r="H855" s="132"/>
      <c r="I855" s="133"/>
      <c r="J855" s="133"/>
      <c r="K855" s="137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>
      <c r="A856" s="2"/>
      <c r="B856" s="131"/>
      <c r="C856" s="131"/>
      <c r="D856" s="131"/>
      <c r="E856" s="131"/>
      <c r="F856" s="131"/>
      <c r="G856" s="133"/>
      <c r="H856" s="132"/>
      <c r="I856" s="133"/>
      <c r="J856" s="133"/>
      <c r="K856" s="137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>
      <c r="A857" s="2"/>
      <c r="B857" s="131"/>
      <c r="C857" s="131"/>
      <c r="D857" s="131"/>
      <c r="E857" s="131"/>
      <c r="F857" s="131"/>
      <c r="G857" s="133"/>
      <c r="H857" s="132"/>
      <c r="I857" s="133"/>
      <c r="J857" s="133"/>
      <c r="K857" s="137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>
      <c r="A858" s="2"/>
      <c r="B858" s="131"/>
      <c r="C858" s="131"/>
      <c r="D858" s="131"/>
      <c r="E858" s="131"/>
      <c r="F858" s="131"/>
      <c r="G858" s="133"/>
      <c r="H858" s="132"/>
      <c r="I858" s="133"/>
      <c r="J858" s="133"/>
      <c r="K858" s="137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>
      <c r="A859" s="2"/>
      <c r="B859" s="131"/>
      <c r="C859" s="131"/>
      <c r="D859" s="131"/>
      <c r="E859" s="131"/>
      <c r="F859" s="131"/>
      <c r="G859" s="133"/>
      <c r="H859" s="132"/>
      <c r="I859" s="133"/>
      <c r="J859" s="133"/>
      <c r="K859" s="137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>
      <c r="A860" s="2"/>
      <c r="B860" s="131"/>
      <c r="C860" s="131"/>
      <c r="D860" s="131"/>
      <c r="E860" s="131"/>
      <c r="F860" s="131"/>
      <c r="G860" s="133"/>
      <c r="H860" s="132"/>
      <c r="I860" s="133"/>
      <c r="J860" s="133"/>
      <c r="K860" s="137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2"/>
      <c r="B861" s="131"/>
      <c r="C861" s="131"/>
      <c r="D861" s="131"/>
      <c r="E861" s="131"/>
      <c r="F861" s="131"/>
      <c r="G861" s="133"/>
      <c r="H861" s="132"/>
      <c r="I861" s="133"/>
      <c r="J861" s="133"/>
      <c r="K861" s="137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2"/>
      <c r="B862" s="131"/>
      <c r="C862" s="131"/>
      <c r="D862" s="131"/>
      <c r="E862" s="131"/>
      <c r="F862" s="131"/>
      <c r="G862" s="133"/>
      <c r="H862" s="132"/>
      <c r="I862" s="133"/>
      <c r="J862" s="133"/>
      <c r="K862" s="137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2"/>
      <c r="B863" s="131"/>
      <c r="C863" s="131"/>
      <c r="D863" s="131"/>
      <c r="E863" s="131"/>
      <c r="F863" s="131"/>
      <c r="G863" s="133"/>
      <c r="H863" s="132"/>
      <c r="I863" s="133"/>
      <c r="J863" s="133"/>
      <c r="K863" s="137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2"/>
      <c r="B864" s="131"/>
      <c r="C864" s="131"/>
      <c r="D864" s="131"/>
      <c r="E864" s="131"/>
      <c r="F864" s="131"/>
      <c r="G864" s="133"/>
      <c r="H864" s="132"/>
      <c r="I864" s="133"/>
      <c r="J864" s="133"/>
      <c r="K864" s="137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2"/>
      <c r="B865" s="131"/>
      <c r="C865" s="131"/>
      <c r="D865" s="131"/>
      <c r="E865" s="131"/>
      <c r="F865" s="131"/>
      <c r="G865" s="133"/>
      <c r="H865" s="132"/>
      <c r="I865" s="133"/>
      <c r="J865" s="133"/>
      <c r="K865" s="137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2"/>
      <c r="B866" s="131"/>
      <c r="C866" s="131"/>
      <c r="D866" s="131"/>
      <c r="E866" s="131"/>
      <c r="F866" s="131"/>
      <c r="G866" s="133"/>
      <c r="H866" s="132"/>
      <c r="I866" s="133"/>
      <c r="J866" s="133"/>
      <c r="K866" s="137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2"/>
      <c r="B867" s="131"/>
      <c r="C867" s="131"/>
      <c r="D867" s="131"/>
      <c r="E867" s="131"/>
      <c r="F867" s="131"/>
      <c r="G867" s="133"/>
      <c r="H867" s="132"/>
      <c r="I867" s="133"/>
      <c r="J867" s="133"/>
      <c r="K867" s="137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2"/>
      <c r="B868" s="131"/>
      <c r="C868" s="131"/>
      <c r="D868" s="131"/>
      <c r="E868" s="131"/>
      <c r="F868" s="131"/>
      <c r="G868" s="133"/>
      <c r="H868" s="132"/>
      <c r="I868" s="133"/>
      <c r="J868" s="133"/>
      <c r="K868" s="137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2"/>
      <c r="B869" s="131"/>
      <c r="C869" s="131"/>
      <c r="D869" s="131"/>
      <c r="E869" s="131"/>
      <c r="F869" s="131"/>
      <c r="G869" s="133"/>
      <c r="H869" s="132"/>
      <c r="I869" s="133"/>
      <c r="J869" s="133"/>
      <c r="K869" s="137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2"/>
      <c r="B870" s="131"/>
      <c r="C870" s="131"/>
      <c r="D870" s="131"/>
      <c r="E870" s="131"/>
      <c r="F870" s="131"/>
      <c r="G870" s="133"/>
      <c r="H870" s="132"/>
      <c r="I870" s="133"/>
      <c r="J870" s="133"/>
      <c r="K870" s="137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2"/>
      <c r="B871" s="131"/>
      <c r="C871" s="131"/>
      <c r="D871" s="131"/>
      <c r="E871" s="131"/>
      <c r="F871" s="131"/>
      <c r="G871" s="133"/>
      <c r="H871" s="132"/>
      <c r="I871" s="133"/>
      <c r="J871" s="133"/>
      <c r="K871" s="137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2"/>
      <c r="B872" s="131"/>
      <c r="C872" s="131"/>
      <c r="D872" s="131"/>
      <c r="E872" s="131"/>
      <c r="F872" s="131"/>
      <c r="G872" s="133"/>
      <c r="H872" s="132"/>
      <c r="I872" s="133"/>
      <c r="J872" s="133"/>
      <c r="K872" s="137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2"/>
      <c r="B873" s="131"/>
      <c r="C873" s="131"/>
      <c r="D873" s="131"/>
      <c r="E873" s="131"/>
      <c r="F873" s="131"/>
      <c r="G873" s="133"/>
      <c r="H873" s="132"/>
      <c r="I873" s="133"/>
      <c r="J873" s="133"/>
      <c r="K873" s="137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2"/>
      <c r="B874" s="131"/>
      <c r="C874" s="131"/>
      <c r="D874" s="131"/>
      <c r="E874" s="131"/>
      <c r="F874" s="131"/>
      <c r="G874" s="133"/>
      <c r="H874" s="132"/>
      <c r="I874" s="133"/>
      <c r="J874" s="133"/>
      <c r="K874" s="137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2"/>
      <c r="B875" s="131"/>
      <c r="C875" s="131"/>
      <c r="D875" s="131"/>
      <c r="E875" s="131"/>
      <c r="F875" s="131"/>
      <c r="G875" s="133"/>
      <c r="H875" s="132"/>
      <c r="I875" s="133"/>
      <c r="J875" s="133"/>
      <c r="K875" s="137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2"/>
      <c r="B876" s="131"/>
      <c r="C876" s="131"/>
      <c r="D876" s="131"/>
      <c r="E876" s="131"/>
      <c r="F876" s="131"/>
      <c r="G876" s="133"/>
      <c r="H876" s="132"/>
      <c r="I876" s="133"/>
      <c r="J876" s="133"/>
      <c r="K876" s="137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2"/>
      <c r="B877" s="131"/>
      <c r="C877" s="131"/>
      <c r="D877" s="131"/>
      <c r="E877" s="131"/>
      <c r="F877" s="131"/>
      <c r="G877" s="133"/>
      <c r="H877" s="132"/>
      <c r="I877" s="133"/>
      <c r="J877" s="133"/>
      <c r="K877" s="137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2"/>
      <c r="B878" s="131"/>
      <c r="C878" s="131"/>
      <c r="D878" s="131"/>
      <c r="E878" s="131"/>
      <c r="F878" s="131"/>
      <c r="G878" s="133"/>
      <c r="H878" s="132"/>
      <c r="I878" s="133"/>
      <c r="J878" s="133"/>
      <c r="K878" s="137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2"/>
      <c r="B879" s="131"/>
      <c r="C879" s="131"/>
      <c r="D879" s="131"/>
      <c r="E879" s="131"/>
      <c r="F879" s="131"/>
      <c r="G879" s="133"/>
      <c r="H879" s="132"/>
      <c r="I879" s="133"/>
      <c r="J879" s="133"/>
      <c r="K879" s="137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2"/>
      <c r="B880" s="131"/>
      <c r="C880" s="131"/>
      <c r="D880" s="131"/>
      <c r="E880" s="131"/>
      <c r="F880" s="131"/>
      <c r="G880" s="133"/>
      <c r="H880" s="132"/>
      <c r="I880" s="133"/>
      <c r="J880" s="133"/>
      <c r="K880" s="137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2"/>
      <c r="B881" s="131"/>
      <c r="C881" s="131"/>
      <c r="D881" s="131"/>
      <c r="E881" s="131"/>
      <c r="F881" s="131"/>
      <c r="G881" s="133"/>
      <c r="H881" s="132"/>
      <c r="I881" s="133"/>
      <c r="J881" s="133"/>
      <c r="K881" s="137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2"/>
      <c r="B882" s="131"/>
      <c r="C882" s="131"/>
      <c r="D882" s="131"/>
      <c r="E882" s="131"/>
      <c r="F882" s="131"/>
      <c r="G882" s="133"/>
      <c r="H882" s="132"/>
      <c r="I882" s="133"/>
      <c r="J882" s="133"/>
      <c r="K882" s="137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2"/>
      <c r="B883" s="131"/>
      <c r="C883" s="131"/>
      <c r="D883" s="131"/>
      <c r="E883" s="131"/>
      <c r="F883" s="131"/>
      <c r="G883" s="133"/>
      <c r="H883" s="132"/>
      <c r="I883" s="133"/>
      <c r="J883" s="133"/>
      <c r="K883" s="137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2"/>
      <c r="B884" s="131"/>
      <c r="C884" s="131"/>
      <c r="D884" s="131"/>
      <c r="E884" s="131"/>
      <c r="F884" s="131"/>
      <c r="G884" s="133"/>
      <c r="H884" s="132"/>
      <c r="I884" s="133"/>
      <c r="J884" s="133"/>
      <c r="K884" s="137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2"/>
      <c r="B885" s="131"/>
      <c r="C885" s="131"/>
      <c r="D885" s="131"/>
      <c r="E885" s="131"/>
      <c r="F885" s="131"/>
      <c r="G885" s="133"/>
      <c r="H885" s="132"/>
      <c r="I885" s="133"/>
      <c r="J885" s="133"/>
      <c r="K885" s="137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2"/>
      <c r="B886" s="131"/>
      <c r="C886" s="131"/>
      <c r="D886" s="131"/>
      <c r="E886" s="131"/>
      <c r="F886" s="131"/>
      <c r="G886" s="133"/>
      <c r="H886" s="132"/>
      <c r="I886" s="133"/>
      <c r="J886" s="133"/>
      <c r="K886" s="137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2"/>
      <c r="B887" s="131"/>
      <c r="C887" s="131"/>
      <c r="D887" s="131"/>
      <c r="E887" s="131"/>
      <c r="F887" s="131"/>
      <c r="G887" s="133"/>
      <c r="H887" s="132"/>
      <c r="I887" s="133"/>
      <c r="J887" s="133"/>
      <c r="K887" s="137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2"/>
      <c r="B888" s="131"/>
      <c r="C888" s="131"/>
      <c r="D888" s="131"/>
      <c r="E888" s="131"/>
      <c r="F888" s="131"/>
      <c r="G888" s="133"/>
      <c r="H888" s="132"/>
      <c r="I888" s="133"/>
      <c r="J888" s="133"/>
      <c r="K888" s="137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2"/>
      <c r="B889" s="131"/>
      <c r="C889" s="131"/>
      <c r="D889" s="131"/>
      <c r="E889" s="131"/>
      <c r="F889" s="131"/>
      <c r="G889" s="133"/>
      <c r="H889" s="132"/>
      <c r="I889" s="133"/>
      <c r="J889" s="133"/>
      <c r="K889" s="13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2"/>
      <c r="B890" s="131"/>
      <c r="C890" s="131"/>
      <c r="D890" s="131"/>
      <c r="E890" s="131"/>
      <c r="F890" s="131"/>
      <c r="G890" s="133"/>
      <c r="H890" s="132"/>
      <c r="I890" s="133"/>
      <c r="J890" s="133"/>
      <c r="K890" s="13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2"/>
      <c r="B891" s="131"/>
      <c r="C891" s="131"/>
      <c r="D891" s="131"/>
      <c r="E891" s="131"/>
      <c r="F891" s="131"/>
      <c r="G891" s="133"/>
      <c r="H891" s="132"/>
      <c r="I891" s="133"/>
      <c r="J891" s="133"/>
      <c r="K891" s="13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2"/>
      <c r="B892" s="131"/>
      <c r="C892" s="131"/>
      <c r="D892" s="131"/>
      <c r="E892" s="131"/>
      <c r="F892" s="131"/>
      <c r="G892" s="133"/>
      <c r="H892" s="132"/>
      <c r="I892" s="133"/>
      <c r="J892" s="133"/>
      <c r="K892" s="13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2"/>
      <c r="B893" s="131"/>
      <c r="C893" s="131"/>
      <c r="D893" s="131"/>
      <c r="E893" s="131"/>
      <c r="F893" s="131"/>
      <c r="G893" s="133"/>
      <c r="H893" s="132"/>
      <c r="I893" s="133"/>
      <c r="J893" s="133"/>
      <c r="K893" s="13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2"/>
      <c r="B894" s="131"/>
      <c r="C894" s="131"/>
      <c r="D894" s="131"/>
      <c r="E894" s="131"/>
      <c r="F894" s="131"/>
      <c r="G894" s="133"/>
      <c r="H894" s="132"/>
      <c r="I894" s="133"/>
      <c r="J894" s="133"/>
      <c r="K894" s="13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2"/>
      <c r="B895" s="131"/>
      <c r="C895" s="131"/>
      <c r="D895" s="131"/>
      <c r="E895" s="131"/>
      <c r="F895" s="131"/>
      <c r="G895" s="133"/>
      <c r="H895" s="132"/>
      <c r="I895" s="133"/>
      <c r="J895" s="133"/>
      <c r="K895" s="13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2"/>
      <c r="B896" s="131"/>
      <c r="C896" s="131"/>
      <c r="D896" s="131"/>
      <c r="E896" s="131"/>
      <c r="F896" s="131"/>
      <c r="G896" s="133"/>
      <c r="H896" s="132"/>
      <c r="I896" s="133"/>
      <c r="J896" s="133"/>
      <c r="K896" s="13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2"/>
      <c r="B897" s="131"/>
      <c r="C897" s="131"/>
      <c r="D897" s="131"/>
      <c r="E897" s="131"/>
      <c r="F897" s="131"/>
      <c r="G897" s="133"/>
      <c r="H897" s="132"/>
      <c r="I897" s="133"/>
      <c r="J897" s="133"/>
      <c r="K897" s="13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2"/>
      <c r="B898" s="131"/>
      <c r="C898" s="131"/>
      <c r="D898" s="131"/>
      <c r="E898" s="131"/>
      <c r="F898" s="131"/>
      <c r="G898" s="133"/>
      <c r="H898" s="132"/>
      <c r="I898" s="133"/>
      <c r="J898" s="133"/>
      <c r="K898" s="13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2"/>
      <c r="B899" s="131"/>
      <c r="C899" s="131"/>
      <c r="D899" s="131"/>
      <c r="E899" s="131"/>
      <c r="F899" s="131"/>
      <c r="G899" s="133"/>
      <c r="H899" s="132"/>
      <c r="I899" s="133"/>
      <c r="J899" s="133"/>
      <c r="K899" s="13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2"/>
      <c r="B900" s="131"/>
      <c r="C900" s="131"/>
      <c r="D900" s="131"/>
      <c r="E900" s="131"/>
      <c r="F900" s="131"/>
      <c r="G900" s="133"/>
      <c r="H900" s="132"/>
      <c r="I900" s="133"/>
      <c r="J900" s="133"/>
      <c r="K900" s="137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2"/>
      <c r="B901" s="131"/>
      <c r="C901" s="131"/>
      <c r="D901" s="131"/>
      <c r="E901" s="131"/>
      <c r="F901" s="131"/>
      <c r="G901" s="133"/>
      <c r="H901" s="132"/>
      <c r="I901" s="133"/>
      <c r="J901" s="133"/>
      <c r="K901" s="137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2"/>
      <c r="B902" s="131"/>
      <c r="C902" s="131"/>
      <c r="D902" s="131"/>
      <c r="E902" s="131"/>
      <c r="F902" s="131"/>
      <c r="G902" s="133"/>
      <c r="H902" s="132"/>
      <c r="I902" s="133"/>
      <c r="J902" s="133"/>
      <c r="K902" s="137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2"/>
      <c r="B903" s="131"/>
      <c r="C903" s="131"/>
      <c r="D903" s="131"/>
      <c r="E903" s="131"/>
      <c r="F903" s="131"/>
      <c r="G903" s="133"/>
      <c r="H903" s="132"/>
      <c r="I903" s="133"/>
      <c r="J903" s="133"/>
      <c r="K903" s="137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2"/>
      <c r="B904" s="131"/>
      <c r="C904" s="131"/>
      <c r="D904" s="131"/>
      <c r="E904" s="131"/>
      <c r="F904" s="131"/>
      <c r="G904" s="133"/>
      <c r="H904" s="132"/>
      <c r="I904" s="133"/>
      <c r="J904" s="133"/>
      <c r="K904" s="137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2"/>
      <c r="B905" s="131"/>
      <c r="C905" s="131"/>
      <c r="D905" s="131"/>
      <c r="E905" s="131"/>
      <c r="F905" s="131"/>
      <c r="G905" s="133"/>
      <c r="H905" s="132"/>
      <c r="I905" s="133"/>
      <c r="J905" s="133"/>
      <c r="K905" s="137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2"/>
      <c r="B906" s="131"/>
      <c r="C906" s="131"/>
      <c r="D906" s="131"/>
      <c r="E906" s="131"/>
      <c r="F906" s="131"/>
      <c r="G906" s="133"/>
      <c r="H906" s="132"/>
      <c r="I906" s="133"/>
      <c r="J906" s="133"/>
      <c r="K906" s="137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2"/>
      <c r="B907" s="131"/>
      <c r="C907" s="131"/>
      <c r="D907" s="131"/>
      <c r="E907" s="131"/>
      <c r="F907" s="131"/>
      <c r="G907" s="133"/>
      <c r="H907" s="132"/>
      <c r="I907" s="133"/>
      <c r="J907" s="133"/>
      <c r="K907" s="137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2"/>
      <c r="B908" s="131"/>
      <c r="C908" s="131"/>
      <c r="D908" s="131"/>
      <c r="E908" s="131"/>
      <c r="F908" s="131"/>
      <c r="G908" s="133"/>
      <c r="H908" s="132"/>
      <c r="I908" s="133"/>
      <c r="J908" s="133"/>
      <c r="K908" s="137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2"/>
      <c r="B909" s="131"/>
      <c r="C909" s="131"/>
      <c r="D909" s="131"/>
      <c r="E909" s="131"/>
      <c r="F909" s="131"/>
      <c r="G909" s="133"/>
      <c r="H909" s="132"/>
      <c r="I909" s="133"/>
      <c r="J909" s="133"/>
      <c r="K909" s="137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2"/>
      <c r="B910" s="131"/>
      <c r="C910" s="131"/>
      <c r="D910" s="131"/>
      <c r="E910" s="131"/>
      <c r="F910" s="131"/>
      <c r="G910" s="133"/>
      <c r="H910" s="132"/>
      <c r="I910" s="133"/>
      <c r="J910" s="133"/>
      <c r="K910" s="137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2"/>
      <c r="B911" s="131"/>
      <c r="C911" s="131"/>
      <c r="D911" s="131"/>
      <c r="E911" s="131"/>
      <c r="F911" s="131"/>
      <c r="G911" s="133"/>
      <c r="H911" s="132"/>
      <c r="I911" s="133"/>
      <c r="J911" s="133"/>
      <c r="K911" s="137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2"/>
      <c r="B912" s="131"/>
      <c r="C912" s="131"/>
      <c r="D912" s="131"/>
      <c r="E912" s="131"/>
      <c r="F912" s="131"/>
      <c r="G912" s="133"/>
      <c r="H912" s="132"/>
      <c r="I912" s="133"/>
      <c r="J912" s="133"/>
      <c r="K912" s="137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2"/>
      <c r="B913" s="131"/>
      <c r="C913" s="131"/>
      <c r="D913" s="131"/>
      <c r="E913" s="131"/>
      <c r="F913" s="131"/>
      <c r="G913" s="133"/>
      <c r="H913" s="132"/>
      <c r="I913" s="133"/>
      <c r="J913" s="133"/>
      <c r="K913" s="137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2"/>
      <c r="B914" s="131"/>
      <c r="C914" s="131"/>
      <c r="D914" s="131"/>
      <c r="E914" s="131"/>
      <c r="F914" s="131"/>
      <c r="G914" s="133"/>
      <c r="H914" s="132"/>
      <c r="I914" s="133"/>
      <c r="J914" s="133"/>
      <c r="K914" s="137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2"/>
      <c r="B915" s="131"/>
      <c r="C915" s="131"/>
      <c r="D915" s="131"/>
      <c r="E915" s="131"/>
      <c r="F915" s="131"/>
      <c r="G915" s="133"/>
      <c r="H915" s="132"/>
      <c r="I915" s="133"/>
      <c r="J915" s="133"/>
      <c r="K915" s="137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2"/>
      <c r="B916" s="131"/>
      <c r="C916" s="131"/>
      <c r="D916" s="131"/>
      <c r="E916" s="131"/>
      <c r="F916" s="131"/>
      <c r="G916" s="133"/>
      <c r="H916" s="132"/>
      <c r="I916" s="133"/>
      <c r="J916" s="133"/>
      <c r="K916" s="137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2"/>
      <c r="B917" s="131"/>
      <c r="C917" s="131"/>
      <c r="D917" s="131"/>
      <c r="E917" s="131"/>
      <c r="F917" s="131"/>
      <c r="G917" s="133"/>
      <c r="H917" s="132"/>
      <c r="I917" s="133"/>
      <c r="J917" s="133"/>
      <c r="K917" s="137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2"/>
      <c r="B918" s="131"/>
      <c r="C918" s="131"/>
      <c r="D918" s="131"/>
      <c r="E918" s="131"/>
      <c r="F918" s="131"/>
      <c r="G918" s="133"/>
      <c r="H918" s="132"/>
      <c r="I918" s="133"/>
      <c r="J918" s="133"/>
      <c r="K918" s="137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2"/>
      <c r="B919" s="131"/>
      <c r="C919" s="131"/>
      <c r="D919" s="131"/>
      <c r="E919" s="131"/>
      <c r="F919" s="131"/>
      <c r="G919" s="133"/>
      <c r="H919" s="132"/>
      <c r="I919" s="133"/>
      <c r="J919" s="133"/>
      <c r="K919" s="137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2"/>
      <c r="B920" s="131"/>
      <c r="C920" s="131"/>
      <c r="D920" s="131"/>
      <c r="E920" s="131"/>
      <c r="F920" s="131"/>
      <c r="G920" s="133"/>
      <c r="H920" s="132"/>
      <c r="I920" s="133"/>
      <c r="J920" s="133"/>
      <c r="K920" s="137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2"/>
      <c r="B921" s="131"/>
      <c r="C921" s="131"/>
      <c r="D921" s="131"/>
      <c r="E921" s="131"/>
      <c r="F921" s="131"/>
      <c r="G921" s="133"/>
      <c r="H921" s="132"/>
      <c r="I921" s="133"/>
      <c r="J921" s="133"/>
      <c r="K921" s="137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A922" s="2"/>
      <c r="B922" s="131"/>
      <c r="C922" s="131"/>
      <c r="D922" s="131"/>
      <c r="E922" s="131"/>
      <c r="F922" s="131"/>
      <c r="G922" s="133"/>
      <c r="H922" s="132"/>
      <c r="I922" s="133"/>
      <c r="J922" s="133"/>
      <c r="K922" s="137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>
      <c r="A923" s="2"/>
      <c r="B923" s="131"/>
      <c r="C923" s="131"/>
      <c r="D923" s="131"/>
      <c r="E923" s="131"/>
      <c r="F923" s="131"/>
      <c r="G923" s="133"/>
      <c r="H923" s="132"/>
      <c r="I923" s="133"/>
      <c r="J923" s="133"/>
      <c r="K923" s="137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>
      <c r="A924" s="2"/>
      <c r="B924" s="131"/>
      <c r="C924" s="131"/>
      <c r="D924" s="131"/>
      <c r="E924" s="131"/>
      <c r="F924" s="131"/>
      <c r="G924" s="133"/>
      <c r="H924" s="132"/>
      <c r="I924" s="133"/>
      <c r="J924" s="133"/>
      <c r="K924" s="137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>
      <c r="A925" s="2"/>
      <c r="B925" s="131"/>
      <c r="C925" s="131"/>
      <c r="D925" s="131"/>
      <c r="E925" s="131"/>
      <c r="F925" s="131"/>
      <c r="G925" s="133"/>
      <c r="H925" s="132"/>
      <c r="I925" s="133"/>
      <c r="J925" s="133"/>
      <c r="K925" s="137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>
      <c r="A926" s="2"/>
      <c r="B926" s="131"/>
      <c r="C926" s="131"/>
      <c r="D926" s="131"/>
      <c r="E926" s="131"/>
      <c r="F926" s="131"/>
      <c r="G926" s="133"/>
      <c r="H926" s="132"/>
      <c r="I926" s="133"/>
      <c r="J926" s="133"/>
      <c r="K926" s="137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>
      <c r="A927" s="2"/>
      <c r="B927" s="131"/>
      <c r="C927" s="131"/>
      <c r="D927" s="131"/>
      <c r="E927" s="131"/>
      <c r="F927" s="131"/>
      <c r="G927" s="133"/>
      <c r="H927" s="132"/>
      <c r="I927" s="133"/>
      <c r="J927" s="133"/>
      <c r="K927" s="137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>
      <c r="A928" s="2"/>
      <c r="B928" s="131"/>
      <c r="C928" s="131"/>
      <c r="D928" s="131"/>
      <c r="E928" s="131"/>
      <c r="F928" s="131"/>
      <c r="G928" s="133"/>
      <c r="H928" s="132"/>
      <c r="I928" s="133"/>
      <c r="J928" s="133"/>
      <c r="K928" s="137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>
      <c r="A929" s="2"/>
      <c r="B929" s="131"/>
      <c r="C929" s="131"/>
      <c r="D929" s="131"/>
      <c r="E929" s="131"/>
      <c r="F929" s="131"/>
      <c r="G929" s="133"/>
      <c r="H929" s="132"/>
      <c r="I929" s="133"/>
      <c r="J929" s="133"/>
      <c r="K929" s="137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>
      <c r="A930" s="2"/>
      <c r="B930" s="131"/>
      <c r="C930" s="131"/>
      <c r="D930" s="131"/>
      <c r="E930" s="131"/>
      <c r="F930" s="131"/>
      <c r="G930" s="133"/>
      <c r="H930" s="132"/>
      <c r="I930" s="133"/>
      <c r="J930" s="133"/>
      <c r="K930" s="137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>
      <c r="A931" s="2"/>
      <c r="B931" s="131"/>
      <c r="C931" s="131"/>
      <c r="D931" s="131"/>
      <c r="E931" s="131"/>
      <c r="F931" s="131"/>
      <c r="G931" s="133"/>
      <c r="H931" s="132"/>
      <c r="I931" s="133"/>
      <c r="J931" s="133"/>
      <c r="K931" s="137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>
      <c r="A932" s="2"/>
      <c r="B932" s="131"/>
      <c r="C932" s="131"/>
      <c r="D932" s="131"/>
      <c r="E932" s="131"/>
      <c r="F932" s="131"/>
      <c r="G932" s="133"/>
      <c r="H932" s="132"/>
      <c r="I932" s="133"/>
      <c r="J932" s="133"/>
      <c r="K932" s="137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>
      <c r="A933" s="2"/>
      <c r="B933" s="131"/>
      <c r="C933" s="131"/>
      <c r="D933" s="131"/>
      <c r="E933" s="131"/>
      <c r="F933" s="131"/>
      <c r="G933" s="133"/>
      <c r="H933" s="132"/>
      <c r="I933" s="133"/>
      <c r="J933" s="133"/>
      <c r="K933" s="137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>
      <c r="A934" s="2"/>
      <c r="B934" s="131"/>
      <c r="C934" s="131"/>
      <c r="D934" s="131"/>
      <c r="E934" s="131"/>
      <c r="F934" s="131"/>
      <c r="G934" s="133"/>
      <c r="H934" s="132"/>
      <c r="I934" s="133"/>
      <c r="J934" s="133"/>
      <c r="K934" s="137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>
      <c r="A935" s="2"/>
      <c r="B935" s="131"/>
      <c r="C935" s="131"/>
      <c r="D935" s="131"/>
      <c r="E935" s="131"/>
      <c r="F935" s="131"/>
      <c r="G935" s="133"/>
      <c r="H935" s="132"/>
      <c r="I935" s="133"/>
      <c r="J935" s="133"/>
      <c r="K935" s="137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>
      <c r="A936" s="2"/>
      <c r="B936" s="131"/>
      <c r="C936" s="131"/>
      <c r="D936" s="131"/>
      <c r="E936" s="131"/>
      <c r="F936" s="131"/>
      <c r="G936" s="133"/>
      <c r="H936" s="132"/>
      <c r="I936" s="133"/>
      <c r="J936" s="133"/>
      <c r="K936" s="137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>
      <c r="A937" s="2"/>
      <c r="B937" s="131"/>
      <c r="C937" s="131"/>
      <c r="D937" s="131"/>
      <c r="E937" s="131"/>
      <c r="F937" s="131"/>
      <c r="G937" s="133"/>
      <c r="H937" s="132"/>
      <c r="I937" s="133"/>
      <c r="J937" s="133"/>
      <c r="K937" s="137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>
      <c r="A938" s="2"/>
      <c r="B938" s="131"/>
      <c r="C938" s="131"/>
      <c r="D938" s="131"/>
      <c r="E938" s="131"/>
      <c r="F938" s="131"/>
      <c r="G938" s="133"/>
      <c r="H938" s="132"/>
      <c r="I938" s="133"/>
      <c r="J938" s="133"/>
      <c r="K938" s="137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>
      <c r="A939" s="2"/>
      <c r="B939" s="131"/>
      <c r="C939" s="131"/>
      <c r="D939" s="131"/>
      <c r="E939" s="131"/>
      <c r="F939" s="131"/>
      <c r="G939" s="133"/>
      <c r="H939" s="132"/>
      <c r="I939" s="133"/>
      <c r="J939" s="133"/>
      <c r="K939" s="137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>
      <c r="A940" s="2"/>
      <c r="B940" s="131"/>
      <c r="C940" s="131"/>
      <c r="D940" s="131"/>
      <c r="E940" s="131"/>
      <c r="F940" s="131"/>
      <c r="G940" s="133"/>
      <c r="H940" s="132"/>
      <c r="I940" s="133"/>
      <c r="J940" s="133"/>
      <c r="K940" s="137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>
      <c r="A941" s="2"/>
      <c r="B941" s="131"/>
      <c r="C941" s="131"/>
      <c r="D941" s="131"/>
      <c r="E941" s="131"/>
      <c r="F941" s="131"/>
      <c r="G941" s="133"/>
      <c r="H941" s="132"/>
      <c r="I941" s="133"/>
      <c r="J941" s="133"/>
      <c r="K941" s="137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>
      <c r="A942" s="2"/>
      <c r="B942" s="131"/>
      <c r="C942" s="131"/>
      <c r="D942" s="131"/>
      <c r="E942" s="131"/>
      <c r="F942" s="131"/>
      <c r="G942" s="133"/>
      <c r="H942" s="132"/>
      <c r="I942" s="133"/>
      <c r="J942" s="133"/>
      <c r="K942" s="137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>
      <c r="A943" s="2"/>
      <c r="B943" s="131"/>
      <c r="C943" s="131"/>
      <c r="D943" s="131"/>
      <c r="E943" s="131"/>
      <c r="F943" s="131"/>
      <c r="G943" s="133"/>
      <c r="H943" s="132"/>
      <c r="I943" s="133"/>
      <c r="J943" s="133"/>
      <c r="K943" s="137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>
      <c r="A944" s="2"/>
      <c r="B944" s="131"/>
      <c r="C944" s="131"/>
      <c r="D944" s="131"/>
      <c r="E944" s="131"/>
      <c r="F944" s="131"/>
      <c r="G944" s="133"/>
      <c r="H944" s="132"/>
      <c r="I944" s="133"/>
      <c r="J944" s="133"/>
      <c r="K944" s="137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>
      <c r="A945" s="2"/>
      <c r="B945" s="131"/>
      <c r="C945" s="131"/>
      <c r="D945" s="131"/>
      <c r="E945" s="131"/>
      <c r="F945" s="131"/>
      <c r="G945" s="133"/>
      <c r="H945" s="132"/>
      <c r="I945" s="133"/>
      <c r="J945" s="133"/>
      <c r="K945" s="137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>
      <c r="A946" s="2"/>
      <c r="B946" s="131"/>
      <c r="C946" s="131"/>
      <c r="D946" s="131"/>
      <c r="E946" s="131"/>
      <c r="F946" s="131"/>
      <c r="G946" s="133"/>
      <c r="H946" s="132"/>
      <c r="I946" s="133"/>
      <c r="J946" s="133"/>
      <c r="K946" s="137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>
      <c r="A947" s="2"/>
      <c r="B947" s="131"/>
      <c r="C947" s="131"/>
      <c r="D947" s="131"/>
      <c r="E947" s="131"/>
      <c r="F947" s="131"/>
      <c r="G947" s="133"/>
      <c r="H947" s="132"/>
      <c r="I947" s="133"/>
      <c r="J947" s="133"/>
      <c r="K947" s="137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>
      <c r="A948" s="2"/>
      <c r="B948" s="131"/>
      <c r="C948" s="131"/>
      <c r="D948" s="131"/>
      <c r="E948" s="131"/>
      <c r="F948" s="131"/>
      <c r="G948" s="133"/>
      <c r="H948" s="132"/>
      <c r="I948" s="133"/>
      <c r="J948" s="133"/>
      <c r="K948" s="137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>
      <c r="A949" s="2"/>
      <c r="B949" s="131"/>
      <c r="C949" s="131"/>
      <c r="D949" s="131"/>
      <c r="E949" s="131"/>
      <c r="F949" s="131"/>
      <c r="G949" s="133"/>
      <c r="H949" s="132"/>
      <c r="I949" s="133"/>
      <c r="J949" s="133"/>
      <c r="K949" s="137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>
      <c r="A950" s="2"/>
      <c r="B950" s="131"/>
      <c r="C950" s="131"/>
      <c r="D950" s="131"/>
      <c r="E950" s="131"/>
      <c r="F950" s="131"/>
      <c r="G950" s="133"/>
      <c r="H950" s="132"/>
      <c r="I950" s="133"/>
      <c r="J950" s="133"/>
      <c r="K950" s="137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>
      <c r="A951" s="2"/>
      <c r="B951" s="131"/>
      <c r="C951" s="131"/>
      <c r="D951" s="131"/>
      <c r="E951" s="131"/>
      <c r="F951" s="131"/>
      <c r="G951" s="133"/>
      <c r="H951" s="132"/>
      <c r="I951" s="133"/>
      <c r="J951" s="133"/>
      <c r="K951" s="137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>
      <c r="A952" s="2"/>
      <c r="B952" s="131"/>
      <c r="C952" s="131"/>
      <c r="D952" s="131"/>
      <c r="E952" s="131"/>
      <c r="F952" s="131"/>
      <c r="G952" s="133"/>
      <c r="H952" s="132"/>
      <c r="I952" s="133"/>
      <c r="J952" s="133"/>
      <c r="K952" s="137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>
      <c r="A953" s="2"/>
      <c r="B953" s="131"/>
      <c r="C953" s="131"/>
      <c r="D953" s="131"/>
      <c r="E953" s="131"/>
      <c r="F953" s="131"/>
      <c r="G953" s="133"/>
      <c r="H953" s="132"/>
      <c r="I953" s="133"/>
      <c r="J953" s="133"/>
      <c r="K953" s="137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>
      <c r="A954" s="2"/>
      <c r="B954" s="131"/>
      <c r="C954" s="131"/>
      <c r="D954" s="131"/>
      <c r="E954" s="131"/>
      <c r="F954" s="131"/>
      <c r="G954" s="133"/>
      <c r="H954" s="132"/>
      <c r="I954" s="133"/>
      <c r="J954" s="133"/>
      <c r="K954" s="137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>
      <c r="A955" s="2"/>
      <c r="B955" s="131"/>
      <c r="C955" s="131"/>
      <c r="D955" s="131"/>
      <c r="E955" s="131"/>
      <c r="F955" s="131"/>
      <c r="G955" s="133"/>
      <c r="H955" s="132"/>
      <c r="I955" s="133"/>
      <c r="J955" s="133"/>
      <c r="K955" s="137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>
      <c r="A956" s="2"/>
      <c r="B956" s="131"/>
      <c r="C956" s="131"/>
      <c r="D956" s="131"/>
      <c r="E956" s="131"/>
      <c r="F956" s="131"/>
      <c r="G956" s="133"/>
      <c r="H956" s="132"/>
      <c r="I956" s="133"/>
      <c r="J956" s="133"/>
      <c r="K956" s="137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>
      <c r="A957" s="2"/>
      <c r="B957" s="131"/>
      <c r="C957" s="131"/>
      <c r="D957" s="131"/>
      <c r="E957" s="131"/>
      <c r="F957" s="131"/>
      <c r="G957" s="133"/>
      <c r="H957" s="132"/>
      <c r="I957" s="133"/>
      <c r="J957" s="133"/>
      <c r="K957" s="137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>
      <c r="A958" s="2"/>
      <c r="B958" s="131"/>
      <c r="C958" s="131"/>
      <c r="D958" s="131"/>
      <c r="E958" s="131"/>
      <c r="F958" s="131"/>
      <c r="G958" s="133"/>
      <c r="H958" s="132"/>
      <c r="I958" s="133"/>
      <c r="J958" s="133"/>
      <c r="K958" s="137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>
      <c r="A959" s="2"/>
      <c r="B959" s="131"/>
      <c r="C959" s="131"/>
      <c r="D959" s="131"/>
      <c r="E959" s="131"/>
      <c r="F959" s="131"/>
      <c r="G959" s="133"/>
      <c r="H959" s="132"/>
      <c r="I959" s="133"/>
      <c r="J959" s="133"/>
      <c r="K959" s="137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>
      <c r="A960" s="2"/>
      <c r="B960" s="131"/>
      <c r="C960" s="131"/>
      <c r="D960" s="131"/>
      <c r="E960" s="131"/>
      <c r="F960" s="131"/>
      <c r="G960" s="133"/>
      <c r="H960" s="132"/>
      <c r="I960" s="133"/>
      <c r="J960" s="133"/>
      <c r="K960" s="137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>
      <c r="A961" s="2"/>
      <c r="B961" s="131"/>
      <c r="C961" s="131"/>
      <c r="D961" s="131"/>
      <c r="E961" s="131"/>
      <c r="F961" s="131"/>
      <c r="G961" s="133"/>
      <c r="H961" s="132"/>
      <c r="I961" s="133"/>
      <c r="J961" s="133"/>
      <c r="K961" s="137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>
      <c r="A962" s="2"/>
      <c r="B962" s="131"/>
      <c r="C962" s="131"/>
      <c r="D962" s="131"/>
      <c r="E962" s="131"/>
      <c r="F962" s="131"/>
      <c r="G962" s="133"/>
      <c r="H962" s="132"/>
      <c r="I962" s="133"/>
      <c r="J962" s="133"/>
      <c r="K962" s="137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>
      <c r="A963" s="2"/>
      <c r="B963" s="131"/>
      <c r="C963" s="131"/>
      <c r="D963" s="131"/>
      <c r="E963" s="131"/>
      <c r="F963" s="131"/>
      <c r="G963" s="133"/>
      <c r="H963" s="132"/>
      <c r="I963" s="133"/>
      <c r="J963" s="133"/>
      <c r="K963" s="137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>
      <c r="A964" s="2"/>
      <c r="B964" s="131"/>
      <c r="C964" s="131"/>
      <c r="D964" s="131"/>
      <c r="E964" s="131"/>
      <c r="F964" s="131"/>
      <c r="G964" s="133"/>
      <c r="H964" s="132"/>
      <c r="I964" s="133"/>
      <c r="J964" s="133"/>
      <c r="K964" s="137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>
      <c r="A965" s="2"/>
      <c r="B965" s="131"/>
      <c r="C965" s="131"/>
      <c r="D965" s="131"/>
      <c r="E965" s="131"/>
      <c r="F965" s="131"/>
      <c r="G965" s="133"/>
      <c r="H965" s="132"/>
      <c r="I965" s="133"/>
      <c r="J965" s="133"/>
      <c r="K965" s="137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>
      <c r="A966" s="2"/>
      <c r="B966" s="131"/>
      <c r="C966" s="131"/>
      <c r="D966" s="131"/>
      <c r="E966" s="131"/>
      <c r="F966" s="131"/>
      <c r="G966" s="133"/>
      <c r="H966" s="132"/>
      <c r="I966" s="133"/>
      <c r="J966" s="133"/>
      <c r="K966" s="137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>
      <c r="A967" s="2"/>
      <c r="B967" s="131"/>
      <c r="C967" s="131"/>
      <c r="D967" s="131"/>
      <c r="E967" s="131"/>
      <c r="F967" s="131"/>
      <c r="G967" s="133"/>
      <c r="H967" s="132"/>
      <c r="I967" s="133"/>
      <c r="J967" s="133"/>
      <c r="K967" s="137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>
      <c r="A968" s="2"/>
      <c r="B968" s="131"/>
      <c r="C968" s="131"/>
      <c r="D968" s="131"/>
      <c r="E968" s="131"/>
      <c r="F968" s="131"/>
      <c r="G968" s="133"/>
      <c r="H968" s="132"/>
      <c r="I968" s="133"/>
      <c r="J968" s="133"/>
      <c r="K968" s="137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>
      <c r="A969" s="2"/>
      <c r="B969" s="131"/>
      <c r="C969" s="131"/>
      <c r="D969" s="131"/>
      <c r="E969" s="131"/>
      <c r="F969" s="131"/>
      <c r="G969" s="133"/>
      <c r="H969" s="132"/>
      <c r="I969" s="133"/>
      <c r="J969" s="133"/>
      <c r="K969" s="137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>
      <c r="A970" s="2"/>
      <c r="B970" s="131"/>
      <c r="C970" s="131"/>
      <c r="D970" s="131"/>
      <c r="E970" s="131"/>
      <c r="F970" s="131"/>
      <c r="G970" s="133"/>
      <c r="H970" s="132"/>
      <c r="I970" s="133"/>
      <c r="J970" s="133"/>
      <c r="K970" s="137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>
      <c r="A971" s="2"/>
      <c r="B971" s="131"/>
      <c r="C971" s="131"/>
      <c r="D971" s="131"/>
      <c r="E971" s="131"/>
      <c r="F971" s="131"/>
      <c r="G971" s="133"/>
      <c r="H971" s="132"/>
      <c r="I971" s="133"/>
      <c r="J971" s="133"/>
      <c r="K971" s="137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>
      <c r="A972" s="2"/>
      <c r="B972" s="131"/>
      <c r="C972" s="131"/>
      <c r="D972" s="131"/>
      <c r="E972" s="131"/>
      <c r="F972" s="131"/>
      <c r="G972" s="133"/>
      <c r="H972" s="132"/>
      <c r="I972" s="133"/>
      <c r="J972" s="133"/>
      <c r="K972" s="137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>
      <c r="A973" s="2"/>
      <c r="B973" s="131"/>
      <c r="C973" s="131"/>
      <c r="D973" s="131"/>
      <c r="E973" s="131"/>
      <c r="F973" s="131"/>
      <c r="G973" s="133"/>
      <c r="H973" s="132"/>
      <c r="I973" s="133"/>
      <c r="J973" s="133"/>
      <c r="K973" s="137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>
      <c r="A974" s="2"/>
      <c r="B974" s="131"/>
      <c r="C974" s="131"/>
      <c r="D974" s="131"/>
      <c r="E974" s="131"/>
      <c r="F974" s="131"/>
      <c r="G974" s="133"/>
      <c r="H974" s="132"/>
      <c r="I974" s="133"/>
      <c r="J974" s="133"/>
      <c r="K974" s="137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>
      <c r="A975" s="2"/>
      <c r="B975" s="131"/>
      <c r="C975" s="131"/>
      <c r="D975" s="131"/>
      <c r="E975" s="131"/>
      <c r="F975" s="131"/>
      <c r="G975" s="133"/>
      <c r="H975" s="132"/>
      <c r="I975" s="133"/>
      <c r="J975" s="133"/>
      <c r="K975" s="137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>
      <c r="A976" s="2"/>
      <c r="B976" s="131"/>
      <c r="C976" s="131"/>
      <c r="D976" s="131"/>
      <c r="E976" s="131"/>
      <c r="F976" s="131"/>
      <c r="G976" s="133"/>
      <c r="H976" s="132"/>
      <c r="I976" s="133"/>
      <c r="J976" s="133"/>
      <c r="K976" s="137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>
      <c r="A977" s="2"/>
      <c r="B977" s="131"/>
      <c r="C977" s="131"/>
      <c r="D977" s="131"/>
      <c r="E977" s="131"/>
      <c r="F977" s="131"/>
      <c r="G977" s="133"/>
      <c r="H977" s="132"/>
      <c r="I977" s="133"/>
      <c r="J977" s="133"/>
      <c r="K977" s="137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>
      <c r="A978" s="2"/>
      <c r="B978" s="131"/>
      <c r="C978" s="131"/>
      <c r="D978" s="131"/>
      <c r="E978" s="131"/>
      <c r="F978" s="131"/>
      <c r="G978" s="133"/>
      <c r="H978" s="132"/>
      <c r="I978" s="133"/>
      <c r="J978" s="133"/>
      <c r="K978" s="137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>
      <c r="A979" s="2"/>
      <c r="B979" s="131"/>
      <c r="C979" s="131"/>
      <c r="D979" s="131"/>
      <c r="E979" s="131"/>
      <c r="F979" s="131"/>
      <c r="G979" s="133"/>
      <c r="H979" s="132"/>
      <c r="I979" s="133"/>
      <c r="J979" s="133"/>
      <c r="K979" s="137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>
      <c r="A980" s="2"/>
      <c r="B980" s="131"/>
      <c r="C980" s="131"/>
      <c r="D980" s="131"/>
      <c r="E980" s="131"/>
      <c r="F980" s="131"/>
      <c r="G980" s="133"/>
      <c r="H980" s="132"/>
      <c r="I980" s="133"/>
      <c r="J980" s="133"/>
      <c r="K980" s="137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>
      <c r="A981" s="2"/>
      <c r="B981" s="131"/>
      <c r="C981" s="131"/>
      <c r="D981" s="131"/>
      <c r="E981" s="131"/>
      <c r="F981" s="131"/>
      <c r="G981" s="133"/>
      <c r="H981" s="132"/>
      <c r="I981" s="133"/>
      <c r="J981" s="133"/>
      <c r="K981" s="137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>
      <c r="A982" s="2"/>
      <c r="B982" s="131"/>
      <c r="C982" s="131"/>
      <c r="D982" s="131"/>
      <c r="E982" s="131"/>
      <c r="F982" s="131"/>
      <c r="G982" s="133"/>
      <c r="H982" s="132"/>
      <c r="I982" s="133"/>
      <c r="J982" s="133"/>
      <c r="K982" s="137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>
      <c r="A983" s="2"/>
      <c r="B983" s="131"/>
      <c r="C983" s="131"/>
      <c r="D983" s="131"/>
      <c r="E983" s="131"/>
      <c r="F983" s="131"/>
      <c r="G983" s="133"/>
      <c r="H983" s="132"/>
      <c r="I983" s="133"/>
      <c r="J983" s="133"/>
      <c r="K983" s="137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>
      <c r="A984" s="2"/>
      <c r="B984" s="131"/>
      <c r="C984" s="131"/>
      <c r="D984" s="131"/>
      <c r="E984" s="131"/>
      <c r="F984" s="131"/>
      <c r="G984" s="133"/>
      <c r="H984" s="132"/>
      <c r="I984" s="133"/>
      <c r="J984" s="133"/>
      <c r="K984" s="137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>
      <c r="A985" s="2"/>
      <c r="B985" s="131"/>
      <c r="C985" s="131"/>
      <c r="D985" s="131"/>
      <c r="E985" s="131"/>
      <c r="F985" s="131"/>
      <c r="G985" s="133"/>
      <c r="H985" s="132"/>
      <c r="I985" s="133"/>
      <c r="J985" s="133"/>
      <c r="K985" s="137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>
      <c r="A986" s="2"/>
      <c r="B986" s="131"/>
      <c r="C986" s="131"/>
      <c r="D986" s="131"/>
      <c r="E986" s="131"/>
      <c r="F986" s="131"/>
      <c r="G986" s="133"/>
      <c r="H986" s="132"/>
      <c r="I986" s="133"/>
      <c r="J986" s="133"/>
      <c r="K986" s="137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>
      <c r="A987" s="2"/>
      <c r="B987" s="131"/>
      <c r="C987" s="131"/>
      <c r="D987" s="131"/>
      <c r="E987" s="131"/>
      <c r="F987" s="131"/>
      <c r="G987" s="133"/>
      <c r="H987" s="132"/>
      <c r="I987" s="133"/>
      <c r="J987" s="133"/>
      <c r="K987" s="137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>
      <c r="A988" s="2"/>
      <c r="B988" s="131"/>
      <c r="C988" s="131"/>
      <c r="D988" s="131"/>
      <c r="E988" s="131"/>
      <c r="F988" s="131"/>
      <c r="G988" s="133"/>
      <c r="H988" s="132"/>
      <c r="I988" s="133"/>
      <c r="J988" s="133"/>
      <c r="K988" s="137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>
      <c r="A989" s="2"/>
      <c r="B989" s="131"/>
      <c r="C989" s="131"/>
      <c r="D989" s="131"/>
      <c r="E989" s="131"/>
      <c r="F989" s="131"/>
      <c r="G989" s="133"/>
      <c r="H989" s="132"/>
      <c r="I989" s="133"/>
      <c r="J989" s="133"/>
      <c r="K989" s="137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>
      <c r="A990" s="2"/>
      <c r="B990" s="131"/>
      <c r="C990" s="131"/>
      <c r="D990" s="131"/>
      <c r="E990" s="131"/>
      <c r="F990" s="131"/>
      <c r="G990" s="133"/>
      <c r="H990" s="132"/>
      <c r="I990" s="133"/>
      <c r="J990" s="133"/>
      <c r="K990" s="137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>
      <c r="A991" s="2"/>
      <c r="B991" s="131"/>
      <c r="C991" s="131"/>
      <c r="D991" s="131"/>
      <c r="E991" s="131"/>
      <c r="F991" s="131"/>
      <c r="G991" s="133"/>
      <c r="H991" s="132"/>
      <c r="I991" s="133"/>
      <c r="J991" s="133"/>
      <c r="K991" s="137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>
      <c r="A992" s="2"/>
      <c r="B992" s="131"/>
      <c r="C992" s="131"/>
      <c r="D992" s="131"/>
      <c r="E992" s="131"/>
      <c r="F992" s="131"/>
      <c r="G992" s="133"/>
      <c r="H992" s="132"/>
      <c r="I992" s="133"/>
      <c r="J992" s="133"/>
      <c r="K992" s="137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>
      <c r="A993" s="2"/>
      <c r="B993" s="131"/>
      <c r="C993" s="131"/>
      <c r="D993" s="131"/>
      <c r="E993" s="131"/>
      <c r="F993" s="131"/>
      <c r="G993" s="133"/>
      <c r="H993" s="132"/>
      <c r="I993" s="133"/>
      <c r="J993" s="133"/>
      <c r="K993" s="137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>
      <c r="A994" s="2"/>
      <c r="B994" s="131"/>
      <c r="C994" s="131"/>
      <c r="D994" s="131"/>
      <c r="E994" s="131"/>
      <c r="F994" s="131"/>
      <c r="G994" s="133"/>
      <c r="H994" s="132"/>
      <c r="I994" s="133"/>
      <c r="J994" s="133"/>
      <c r="K994" s="137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>
      <c r="A995" s="2"/>
      <c r="B995" s="131"/>
      <c r="C995" s="131"/>
      <c r="D995" s="131"/>
      <c r="E995" s="131"/>
      <c r="F995" s="131"/>
      <c r="G995" s="133"/>
      <c r="H995" s="132"/>
      <c r="I995" s="133"/>
      <c r="J995" s="133"/>
      <c r="K995" s="137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>
      <c r="A996" s="2"/>
      <c r="B996" s="131"/>
      <c r="C996" s="131"/>
      <c r="D996" s="131"/>
      <c r="E996" s="131"/>
      <c r="F996" s="131"/>
      <c r="G996" s="133"/>
      <c r="H996" s="132"/>
      <c r="I996" s="133"/>
      <c r="J996" s="133"/>
      <c r="K996" s="137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>
      <c r="A997" s="2"/>
      <c r="B997" s="131"/>
      <c r="C997" s="131"/>
      <c r="D997" s="131"/>
      <c r="E997" s="131"/>
      <c r="F997" s="131"/>
      <c r="G997" s="133"/>
      <c r="H997" s="132"/>
      <c r="I997" s="133"/>
      <c r="J997" s="133"/>
      <c r="K997" s="137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>
      <c r="A998" s="2"/>
      <c r="B998" s="131"/>
      <c r="C998" s="131"/>
      <c r="D998" s="131"/>
      <c r="E998" s="131"/>
      <c r="F998" s="131"/>
      <c r="G998" s="133"/>
      <c r="H998" s="132"/>
      <c r="I998" s="133"/>
      <c r="J998" s="133"/>
      <c r="K998" s="137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>
      <c r="A999" s="2"/>
      <c r="B999" s="131"/>
      <c r="C999" s="131"/>
      <c r="D999" s="131"/>
      <c r="E999" s="131"/>
      <c r="F999" s="131"/>
      <c r="G999" s="133"/>
      <c r="H999" s="132"/>
      <c r="I999" s="133"/>
      <c r="J999" s="133"/>
      <c r="K999" s="137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>
      <c r="A1000" s="2"/>
      <c r="B1000" s="131"/>
      <c r="C1000" s="131"/>
      <c r="D1000" s="131"/>
      <c r="E1000" s="131"/>
      <c r="F1000" s="131"/>
      <c r="G1000" s="133"/>
      <c r="H1000" s="132"/>
      <c r="I1000" s="133"/>
      <c r="J1000" s="133"/>
      <c r="K1000" s="137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Col="1"/>
  <cols>
    <col customWidth="1" min="2" max="2" width="12.0"/>
    <col customWidth="1" min="3" max="3" width="19.25"/>
  </cols>
  <sheetData>
    <row r="1">
      <c r="D1" s="139"/>
      <c r="E1" s="139"/>
      <c r="F1" s="139"/>
      <c r="G1" s="139"/>
    </row>
    <row r="2">
      <c r="B2" s="111" t="str">
        <f>IFERROR(__xludf.DUMMYFUNCTION("importrange(""186BTcLZIRRmcGcU5S6nDdN41SUH8zUJ1gFEIezWrRnQ"",""'team points'!c2:H207"")"),"Standings pos.")</f>
        <v>Standings pos.</v>
      </c>
      <c r="C2" s="111" t="str">
        <f>IFERROR(__xludf.DUMMYFUNCTION("""COMPUTED_VALUE"""),"Team")</f>
        <v>Team</v>
      </c>
      <c r="D2" s="140" t="str">
        <f>IFERROR(__xludf.DUMMYFUNCTION("""COMPUTED_VALUE"""),"Total points")</f>
        <v>Total points</v>
      </c>
      <c r="E2" s="140" t="str">
        <f>IFERROR(__xludf.DUMMYFUNCTION("""COMPUTED_VALUE"""),"Tandem points")</f>
        <v>Tandem points</v>
      </c>
      <c r="F2" s="140" t="str">
        <f>IFERROR(__xludf.DUMMYFUNCTION("""COMPUTED_VALUE"""),"Quali points")</f>
        <v>Quali points</v>
      </c>
      <c r="G2" s="140" t="str">
        <f>IFERROR(__xludf.DUMMYFUNCTION("""COMPUTED_VALUE"""),"Prev. points")</f>
        <v>Prev. points</v>
      </c>
    </row>
    <row r="3">
      <c r="B3" s="141">
        <f>IFERROR(__xludf.DUMMYFUNCTION("""COMPUTED_VALUE"""),1.0)</f>
        <v>1</v>
      </c>
      <c r="C3" s="111" t="str">
        <f>IFERROR(__xludf.DUMMYFUNCTION("""COMPUTED_VALUE"""),"Eskuko Black")</f>
        <v>Eskuko Black</v>
      </c>
      <c r="D3" s="140">
        <f>IFERROR(__xludf.DUMMYFUNCTION("""COMPUTED_VALUE"""),516.1)</f>
        <v>516.1</v>
      </c>
      <c r="E3" s="140">
        <f>IFERROR(__xludf.DUMMYFUNCTION("""COMPUTED_VALUE"""),200.0)</f>
        <v>200</v>
      </c>
      <c r="F3" s="140">
        <f>IFERROR(__xludf.DUMMYFUNCTION("""COMPUTED_VALUE"""),17.5)</f>
        <v>17.5</v>
      </c>
      <c r="G3" s="140">
        <f>IFERROR(__xludf.DUMMYFUNCTION("""COMPUTED_VALUE"""),298.6)</f>
        <v>298.6</v>
      </c>
    </row>
    <row r="4">
      <c r="B4" s="141">
        <f>IFERROR(__xludf.DUMMYFUNCTION("""COMPUTED_VALUE"""),2.0)</f>
        <v>2</v>
      </c>
      <c r="C4" s="111" t="str">
        <f>IFERROR(__xludf.DUMMYFUNCTION("""COMPUTED_VALUE"""),"RTW")</f>
        <v>RTW</v>
      </c>
      <c r="D4" s="140">
        <f>IFERROR(__xludf.DUMMYFUNCTION("""COMPUTED_VALUE"""),428.0)</f>
        <v>428</v>
      </c>
      <c r="E4" s="140">
        <f>IFERROR(__xludf.DUMMYFUNCTION("""COMPUTED_VALUE"""),24.0)</f>
        <v>24</v>
      </c>
      <c r="F4" s="140">
        <f>IFERROR(__xludf.DUMMYFUNCTION("""COMPUTED_VALUE"""),3.0)</f>
        <v>3</v>
      </c>
      <c r="G4" s="140">
        <f>IFERROR(__xludf.DUMMYFUNCTION("""COMPUTED_VALUE"""),401.0)</f>
        <v>401</v>
      </c>
    </row>
    <row r="5">
      <c r="B5" s="141">
        <f>IFERROR(__xludf.DUMMYFUNCTION("""COMPUTED_VALUE"""),3.0)</f>
        <v>3</v>
      </c>
      <c r="C5" s="111" t="str">
        <f>IFERROR(__xludf.DUMMYFUNCTION("""COMPUTED_VALUE"""),"RTRiga")</f>
        <v>RTRiga</v>
      </c>
      <c r="D5" s="140">
        <f>IFERROR(__xludf.DUMMYFUNCTION("""COMPUTED_VALUE"""),420.7)</f>
        <v>420.7</v>
      </c>
      <c r="E5" s="140">
        <f>IFERROR(__xludf.DUMMYFUNCTION("""COMPUTED_VALUE"""),152.0)</f>
        <v>152</v>
      </c>
      <c r="F5" s="140">
        <f>IFERROR(__xludf.DUMMYFUNCTION("""COMPUTED_VALUE"""),6.1)</f>
        <v>6.1</v>
      </c>
      <c r="G5" s="140">
        <f>IFERROR(__xludf.DUMMYFUNCTION("""COMPUTED_VALUE"""),262.6)</f>
        <v>262.6</v>
      </c>
    </row>
    <row r="6">
      <c r="B6" s="141">
        <f>IFERROR(__xludf.DUMMYFUNCTION("""COMPUTED_VALUE"""),4.0)</f>
        <v>4</v>
      </c>
      <c r="C6" s="111" t="str">
        <f>IFERROR(__xludf.DUMMYFUNCTION("""COMPUTED_VALUE"""),"Drifta halle")</f>
        <v>Drifta halle</v>
      </c>
      <c r="D6" s="140">
        <f>IFERROR(__xludf.DUMMYFUNCTION("""COMPUTED_VALUE"""),325.40000000000003)</f>
        <v>325.4</v>
      </c>
      <c r="E6" s="140">
        <f>IFERROR(__xludf.DUMMYFUNCTION("""COMPUTED_VALUE"""),34.0)</f>
        <v>34</v>
      </c>
      <c r="F6" s="140">
        <f>IFERROR(__xludf.DUMMYFUNCTION("""COMPUTED_VALUE"""),0.6)</f>
        <v>0.6</v>
      </c>
      <c r="G6" s="140">
        <f>IFERROR(__xludf.DUMMYFUNCTION("""COMPUTED_VALUE"""),290.8)</f>
        <v>290.8</v>
      </c>
    </row>
    <row r="7">
      <c r="B7" s="141">
        <f>IFERROR(__xludf.DUMMYFUNCTION("""COMPUTED_VALUE"""),5.0)</f>
        <v>5</v>
      </c>
      <c r="C7" s="111" t="str">
        <f>IFERROR(__xludf.DUMMYFUNCTION("""COMPUTED_VALUE"""),"NiekoTokio")</f>
        <v>NiekoTokio</v>
      </c>
      <c r="D7" s="140">
        <f>IFERROR(__xludf.DUMMYFUNCTION("""COMPUTED_VALUE"""),228.29999999999998)</f>
        <v>228.3</v>
      </c>
      <c r="E7" s="140">
        <f>IFERROR(__xludf.DUMMYFUNCTION("""COMPUTED_VALUE"""),103.0)</f>
        <v>103</v>
      </c>
      <c r="F7" s="140">
        <f>IFERROR(__xludf.DUMMYFUNCTION("""COMPUTED_VALUE"""),0.6)</f>
        <v>0.6</v>
      </c>
      <c r="G7" s="140">
        <f>IFERROR(__xludf.DUMMYFUNCTION("""COMPUTED_VALUE"""),124.69999999999999)</f>
        <v>124.7</v>
      </c>
    </row>
    <row r="8">
      <c r="B8" s="141">
        <f>IFERROR(__xludf.DUMMYFUNCTION("""COMPUTED_VALUE"""),6.0)</f>
        <v>6</v>
      </c>
      <c r="C8" s="111" t="str">
        <f>IFERROR(__xludf.DUMMYFUNCTION("""COMPUTED_VALUE"""),"TEAM AWAKE")</f>
        <v>TEAM AWAKE</v>
      </c>
      <c r="D8" s="140">
        <f>IFERROR(__xludf.DUMMYFUNCTION("""COMPUTED_VALUE"""),198.75)</f>
        <v>198.75</v>
      </c>
      <c r="E8" s="140">
        <f>IFERROR(__xludf.DUMMYFUNCTION("""COMPUTED_VALUE"""),24.0)</f>
        <v>24</v>
      </c>
      <c r="F8" s="140">
        <f>IFERROR(__xludf.DUMMYFUNCTION("""COMPUTED_VALUE"""),1.0)</f>
        <v>1</v>
      </c>
      <c r="G8" s="140">
        <f>IFERROR(__xludf.DUMMYFUNCTION("""COMPUTED_VALUE"""),173.75)</f>
        <v>173.75</v>
      </c>
    </row>
    <row r="9">
      <c r="B9" s="141">
        <f>IFERROR(__xludf.DUMMYFUNCTION("""COMPUTED_VALUE"""),7.0)</f>
        <v>7</v>
      </c>
      <c r="C9" s="111" t="str">
        <f>IFERROR(__xludf.DUMMYFUNCTION("""COMPUTED_VALUE"""),"Griptone")</f>
        <v>Griptone</v>
      </c>
      <c r="D9" s="140">
        <f>IFERROR(__xludf.DUMMYFUNCTION("""COMPUTED_VALUE"""),189.0)</f>
        <v>189</v>
      </c>
      <c r="E9" s="140">
        <f>IFERROR(__xludf.DUMMYFUNCTION("""COMPUTED_VALUE"""),61.0)</f>
        <v>61</v>
      </c>
      <c r="F9" s="140">
        <f>IFERROR(__xludf.DUMMYFUNCTION("""COMPUTED_VALUE"""),3.0)</f>
        <v>3</v>
      </c>
      <c r="G9" s="140">
        <f>IFERROR(__xludf.DUMMYFUNCTION("""COMPUTED_VALUE"""),125.0)</f>
        <v>125</v>
      </c>
    </row>
    <row r="10">
      <c r="B10" s="141">
        <f>IFERROR(__xludf.DUMMYFUNCTION("""COMPUTED_VALUE"""),8.0)</f>
        <v>8</v>
      </c>
      <c r="C10" s="111" t="str">
        <f>IFERROR(__xludf.DUMMYFUNCTION("""COMPUTED_VALUE"""),"Kaiju")</f>
        <v>Kaiju</v>
      </c>
      <c r="D10" s="140">
        <f>IFERROR(__xludf.DUMMYFUNCTION("""COMPUTED_VALUE"""),160.0)</f>
        <v>160</v>
      </c>
      <c r="E10" s="140">
        <f>IFERROR(__xludf.DUMMYFUNCTION("""COMPUTED_VALUE"""),154.0)</f>
        <v>154</v>
      </c>
      <c r="F10" s="140">
        <f>IFERROR(__xludf.DUMMYFUNCTION("""COMPUTED_VALUE"""),6.0)</f>
        <v>6</v>
      </c>
      <c r="G10" s="140">
        <f>IFERROR(__xludf.DUMMYFUNCTION("""COMPUTED_VALUE"""),0.0)</f>
        <v>0</v>
      </c>
    </row>
    <row r="11">
      <c r="B11" s="141">
        <f>IFERROR(__xludf.DUMMYFUNCTION("""COMPUTED_VALUE"""),9.0)</f>
        <v>9</v>
      </c>
      <c r="C11" s="111" t="str">
        <f>IFERROR(__xludf.DUMMYFUNCTION("""COMPUTED_VALUE"""),"Clutch This!")</f>
        <v>Clutch This!</v>
      </c>
      <c r="D11" s="140">
        <f>IFERROR(__xludf.DUMMYFUNCTION("""COMPUTED_VALUE"""),157.0)</f>
        <v>157</v>
      </c>
      <c r="E11" s="140">
        <f>IFERROR(__xludf.DUMMYFUNCTION("""COMPUTED_VALUE"""),24.0)</f>
        <v>24</v>
      </c>
      <c r="F11" s="140">
        <f>IFERROR(__xludf.DUMMYFUNCTION("""COMPUTED_VALUE"""),0.5)</f>
        <v>0.5</v>
      </c>
      <c r="G11" s="140">
        <f>IFERROR(__xludf.DUMMYFUNCTION("""COMPUTED_VALUE"""),132.5)</f>
        <v>132.5</v>
      </c>
    </row>
    <row r="12">
      <c r="B12" s="141">
        <f>IFERROR(__xludf.DUMMYFUNCTION("""COMPUTED_VALUE"""),10.0)</f>
        <v>10</v>
      </c>
      <c r="C12" s="111" t="str">
        <f>IFERROR(__xludf.DUMMYFUNCTION("""COMPUTED_VALUE"""),"Team Delta Infinite")</f>
        <v>Team Delta Infinite</v>
      </c>
      <c r="D12" s="140">
        <f>IFERROR(__xludf.DUMMYFUNCTION("""COMPUTED_VALUE"""),153.75)</f>
        <v>153.75</v>
      </c>
      <c r="E12" s="140">
        <f>IFERROR(__xludf.DUMMYFUNCTION("""COMPUTED_VALUE"""),78.0)</f>
        <v>78</v>
      </c>
      <c r="F12" s="140">
        <f>IFERROR(__xludf.DUMMYFUNCTION("""COMPUTED_VALUE"""),1.0)</f>
        <v>1</v>
      </c>
      <c r="G12" s="140">
        <f>IFERROR(__xludf.DUMMYFUNCTION("""COMPUTED_VALUE"""),74.75)</f>
        <v>74.75</v>
      </c>
    </row>
    <row r="13">
      <c r="B13" s="141">
        <f>IFERROR(__xludf.DUMMYFUNCTION("""COMPUTED_VALUE"""),11.0)</f>
        <v>11</v>
      </c>
      <c r="C13" s="111" t="str">
        <f>IFERROR(__xludf.DUMMYFUNCTION("""COMPUTED_VALUE"""),"SIONE HAWKY")</f>
        <v>SIONE HAWKY</v>
      </c>
      <c r="D13" s="140">
        <f>IFERROR(__xludf.DUMMYFUNCTION("""COMPUTED_VALUE"""),139.2)</f>
        <v>139.2</v>
      </c>
      <c r="E13" s="140">
        <f>IFERROR(__xludf.DUMMYFUNCTION("""COMPUTED_VALUE"""),0.0)</f>
        <v>0</v>
      </c>
      <c r="F13" s="140">
        <f>IFERROR(__xludf.DUMMYFUNCTION("""COMPUTED_VALUE"""),0.0)</f>
        <v>0</v>
      </c>
      <c r="G13" s="140">
        <f>IFERROR(__xludf.DUMMYFUNCTION("""COMPUTED_VALUE"""),139.2)</f>
        <v>139.2</v>
      </c>
    </row>
    <row r="14">
      <c r="B14" s="141">
        <f>IFERROR(__xludf.DUMMYFUNCTION("""COMPUTED_VALUE"""),12.0)</f>
        <v>12</v>
      </c>
      <c r="C14" s="111" t="str">
        <f>IFERROR(__xludf.DUMMYFUNCTION("""COMPUTED_VALUE"""),"BSRig")</f>
        <v>BSRig</v>
      </c>
      <c r="D14" s="140">
        <f>IFERROR(__xludf.DUMMYFUNCTION("""COMPUTED_VALUE"""),104.99999999999999)</f>
        <v>105</v>
      </c>
      <c r="E14" s="140">
        <f>IFERROR(__xludf.DUMMYFUNCTION("""COMPUTED_VALUE"""),10.0)</f>
        <v>10</v>
      </c>
      <c r="F14" s="140">
        <f>IFERROR(__xludf.DUMMYFUNCTION("""COMPUTED_VALUE"""),0.1)</f>
        <v>0.1</v>
      </c>
      <c r="G14" s="140">
        <f>IFERROR(__xludf.DUMMYFUNCTION("""COMPUTED_VALUE"""),94.89999999999999)</f>
        <v>94.9</v>
      </c>
    </row>
    <row r="15">
      <c r="B15" s="141">
        <f>IFERROR(__xludf.DUMMYFUNCTION("""COMPUTED_VALUE"""),13.0)</f>
        <v>13</v>
      </c>
      <c r="C15" s="111" t="str">
        <f>IFERROR(__xludf.DUMMYFUNCTION("""COMPUTED_VALUE"""),"Evolution of Drift")</f>
        <v>Evolution of Drift</v>
      </c>
      <c r="D15" s="140">
        <f>IFERROR(__xludf.DUMMYFUNCTION("""COMPUTED_VALUE"""),91.55)</f>
        <v>91.55</v>
      </c>
      <c r="E15" s="140">
        <f>IFERROR(__xludf.DUMMYFUNCTION("""COMPUTED_VALUE"""),61.0)</f>
        <v>61</v>
      </c>
      <c r="F15" s="140">
        <f>IFERROR(__xludf.DUMMYFUNCTION("""COMPUTED_VALUE"""),0.25)</f>
        <v>0.25</v>
      </c>
      <c r="G15" s="140">
        <f>IFERROR(__xludf.DUMMYFUNCTION("""COMPUTED_VALUE"""),30.299999999999997)</f>
        <v>30.3</v>
      </c>
    </row>
    <row r="16">
      <c r="B16" s="141">
        <f>IFERROR(__xludf.DUMMYFUNCTION("""COMPUTED_VALUE"""),14.0)</f>
        <v>14</v>
      </c>
      <c r="C16" s="111" t="str">
        <f>IFERROR(__xludf.DUMMYFUNCTION("""COMPUTED_VALUE"""),"Reckless")</f>
        <v>Reckless</v>
      </c>
      <c r="D16" s="140">
        <f>IFERROR(__xludf.DUMMYFUNCTION("""COMPUTED_VALUE"""),88.85)</f>
        <v>88.85</v>
      </c>
      <c r="E16" s="140">
        <f>IFERROR(__xludf.DUMMYFUNCTION("""COMPUTED_VALUE"""),0.0)</f>
        <v>0</v>
      </c>
      <c r="F16" s="140">
        <f>IFERROR(__xludf.DUMMYFUNCTION("""COMPUTED_VALUE"""),0.0)</f>
        <v>0</v>
      </c>
      <c r="G16" s="140">
        <f>IFERROR(__xludf.DUMMYFUNCTION("""COMPUTED_VALUE"""),88.85)</f>
        <v>88.85</v>
      </c>
    </row>
    <row r="17">
      <c r="B17" s="141">
        <f>IFERROR(__xludf.DUMMYFUNCTION("""COMPUTED_VALUE"""),15.0)</f>
        <v>15</v>
      </c>
      <c r="C17" s="111" t="str">
        <f>IFERROR(__xludf.DUMMYFUNCTION("""COMPUTED_VALUE"""),"Carbon Drift Team ( CDT )")</f>
        <v>Carbon Drift Team ( CDT )</v>
      </c>
      <c r="D17" s="140">
        <f>IFERROR(__xludf.DUMMYFUNCTION("""COMPUTED_VALUE"""),83.0)</f>
        <v>83</v>
      </c>
      <c r="E17" s="140">
        <f>IFERROR(__xludf.DUMMYFUNCTION("""COMPUTED_VALUE"""),0.0)</f>
        <v>0</v>
      </c>
      <c r="F17" s="140">
        <f>IFERROR(__xludf.DUMMYFUNCTION("""COMPUTED_VALUE"""),0.0)</f>
        <v>0</v>
      </c>
      <c r="G17" s="140">
        <f>IFERROR(__xludf.DUMMYFUNCTION("""COMPUTED_VALUE"""),83.0)</f>
        <v>83</v>
      </c>
    </row>
    <row r="18">
      <c r="B18" s="141">
        <f>IFERROR(__xludf.DUMMYFUNCTION("""COMPUTED_VALUE"""),16.0)</f>
        <v>16</v>
      </c>
      <c r="C18" s="111" t="str">
        <f>IFERROR(__xludf.DUMMYFUNCTION("""COMPUTED_VALUE"""),"Lock 2 lock (l2l)")</f>
        <v>Lock 2 lock (l2l)</v>
      </c>
      <c r="D18" s="140">
        <f>IFERROR(__xludf.DUMMYFUNCTION("""COMPUTED_VALUE"""),79.0)</f>
        <v>79</v>
      </c>
      <c r="E18" s="140">
        <f>IFERROR(__xludf.DUMMYFUNCTION("""COMPUTED_VALUE"""),54.0)</f>
        <v>54</v>
      </c>
      <c r="F18" s="140">
        <f>IFERROR(__xludf.DUMMYFUNCTION("""COMPUTED_VALUE"""),0.5)</f>
        <v>0.5</v>
      </c>
      <c r="G18" s="140">
        <f>IFERROR(__xludf.DUMMYFUNCTION("""COMPUTED_VALUE"""),24.5)</f>
        <v>24.5</v>
      </c>
    </row>
    <row r="19">
      <c r="B19" s="141">
        <f>IFERROR(__xludf.DUMMYFUNCTION("""COMPUTED_VALUE"""),17.0)</f>
        <v>17</v>
      </c>
      <c r="C19" s="111" t="str">
        <f>IFERROR(__xludf.DUMMYFUNCTION("""COMPUTED_VALUE"""),"Moist Drift Design")</f>
        <v>Moist Drift Design</v>
      </c>
      <c r="D19" s="140">
        <f>IFERROR(__xludf.DUMMYFUNCTION("""COMPUTED_VALUE"""),74.75)</f>
        <v>74.75</v>
      </c>
      <c r="E19" s="140">
        <f>IFERROR(__xludf.DUMMYFUNCTION("""COMPUTED_VALUE"""),20.0)</f>
        <v>20</v>
      </c>
      <c r="F19" s="140">
        <f>IFERROR(__xludf.DUMMYFUNCTION("""COMPUTED_VALUE"""),0.2)</f>
        <v>0.2</v>
      </c>
      <c r="G19" s="140">
        <f>IFERROR(__xludf.DUMMYFUNCTION("""COMPUTED_VALUE"""),54.55)</f>
        <v>54.55</v>
      </c>
    </row>
    <row r="20">
      <c r="B20" s="141">
        <f>IFERROR(__xludf.DUMMYFUNCTION("""COMPUTED_VALUE"""),18.0)</f>
        <v>18</v>
      </c>
      <c r="C20" s="111" t="str">
        <f>IFERROR(__xludf.DUMMYFUNCTION("""COMPUTED_VALUE"""),"EDF")</f>
        <v>EDF</v>
      </c>
      <c r="D20" s="140">
        <f>IFERROR(__xludf.DUMMYFUNCTION("""COMPUTED_VALUE"""),73.25)</f>
        <v>73.25</v>
      </c>
      <c r="E20" s="140">
        <f>IFERROR(__xludf.DUMMYFUNCTION("""COMPUTED_VALUE"""),24.0)</f>
        <v>24</v>
      </c>
      <c r="F20" s="140">
        <f>IFERROR(__xludf.DUMMYFUNCTION("""COMPUTED_VALUE"""),0.25)</f>
        <v>0.25</v>
      </c>
      <c r="G20" s="140">
        <f>IFERROR(__xludf.DUMMYFUNCTION("""COMPUTED_VALUE"""),49.0)</f>
        <v>49</v>
      </c>
    </row>
    <row r="21">
      <c r="B21" s="141">
        <f>IFERROR(__xludf.DUMMYFUNCTION("""COMPUTED_VALUE"""),19.0)</f>
        <v>19</v>
      </c>
      <c r="C21" s="111" t="str">
        <f>IFERROR(__xludf.DUMMYFUNCTION("""COMPUTED_VALUE"""),"Eskuko Red")</f>
        <v>Eskuko Red</v>
      </c>
      <c r="D21" s="140">
        <f>IFERROR(__xludf.DUMMYFUNCTION("""COMPUTED_VALUE"""),64.35)</f>
        <v>64.35</v>
      </c>
      <c r="E21" s="140">
        <f>IFERROR(__xludf.DUMMYFUNCTION("""COMPUTED_VALUE"""),0.0)</f>
        <v>0</v>
      </c>
      <c r="F21" s="140">
        <f>IFERROR(__xludf.DUMMYFUNCTION("""COMPUTED_VALUE"""),0.0)</f>
        <v>0</v>
      </c>
      <c r="G21" s="140">
        <f>IFERROR(__xludf.DUMMYFUNCTION("""COMPUTED_VALUE"""),64.35)</f>
        <v>64.35</v>
      </c>
    </row>
    <row r="22">
      <c r="B22" s="141">
        <f>IFERROR(__xludf.DUMMYFUNCTION("""COMPUTED_VALUE"""),20.0)</f>
        <v>20</v>
      </c>
      <c r="C22" s="111" t="str">
        <f>IFERROR(__xludf.DUMMYFUNCTION("""COMPUTED_VALUE"""),"Hashira")</f>
        <v>Hashira</v>
      </c>
      <c r="D22" s="140">
        <f>IFERROR(__xludf.DUMMYFUNCTION("""COMPUTED_VALUE"""),62.0)</f>
        <v>62</v>
      </c>
      <c r="E22" s="140">
        <f>IFERROR(__xludf.DUMMYFUNCTION("""COMPUTED_VALUE"""),54.0)</f>
        <v>54</v>
      </c>
      <c r="F22" s="140">
        <f>IFERROR(__xludf.DUMMYFUNCTION("""COMPUTED_VALUE"""),8.0)</f>
        <v>8</v>
      </c>
      <c r="G22" s="140">
        <f>IFERROR(__xludf.DUMMYFUNCTION("""COMPUTED_VALUE"""),0.0)</f>
        <v>0</v>
      </c>
    </row>
    <row r="23">
      <c r="B23" s="141">
        <f>IFERROR(__xludf.DUMMYFUNCTION("""COMPUTED_VALUE"""),21.0)</f>
        <v>21</v>
      </c>
      <c r="C23" s="111" t="str">
        <f>IFERROR(__xludf.DUMMYFUNCTION("""COMPUTED_VALUE"""),"MSK")</f>
        <v>MSK</v>
      </c>
      <c r="D23" s="140">
        <f>IFERROR(__xludf.DUMMYFUNCTION("""COMPUTED_VALUE"""),55.300000000000004)</f>
        <v>55.3</v>
      </c>
      <c r="E23" s="140">
        <f>IFERROR(__xludf.DUMMYFUNCTION("""COMPUTED_VALUE"""),20.0)</f>
        <v>20</v>
      </c>
      <c r="F23" s="140">
        <f>IFERROR(__xludf.DUMMYFUNCTION("""COMPUTED_VALUE"""),0.2)</f>
        <v>0.2</v>
      </c>
      <c r="G23" s="140">
        <f>IFERROR(__xludf.DUMMYFUNCTION("""COMPUTED_VALUE"""),35.1)</f>
        <v>35.1</v>
      </c>
    </row>
    <row r="24">
      <c r="B24" s="141">
        <f>IFERROR(__xludf.DUMMYFUNCTION("""COMPUTED_VALUE"""),22.0)</f>
        <v>22</v>
      </c>
      <c r="C24" s="111" t="str">
        <f>IFERROR(__xludf.DUMMYFUNCTION("""COMPUTED_VALUE"""),"NDC")</f>
        <v>NDC</v>
      </c>
      <c r="D24" s="140">
        <f>IFERROR(__xludf.DUMMYFUNCTION("""COMPUTED_VALUE"""),55.0)</f>
        <v>55</v>
      </c>
      <c r="E24" s="140">
        <f>IFERROR(__xludf.DUMMYFUNCTION("""COMPUTED_VALUE"""),54.0)</f>
        <v>54</v>
      </c>
      <c r="F24" s="140">
        <f>IFERROR(__xludf.DUMMYFUNCTION("""COMPUTED_VALUE"""),1.0)</f>
        <v>1</v>
      </c>
      <c r="G24" s="140">
        <f>IFERROR(__xludf.DUMMYFUNCTION("""COMPUTED_VALUE"""),0.0)</f>
        <v>0</v>
      </c>
    </row>
    <row r="25">
      <c r="B25" s="141">
        <f>IFERROR(__xludf.DUMMYFUNCTION("""COMPUTED_VALUE"""),23.0)</f>
        <v>23</v>
      </c>
      <c r="C25" s="111" t="str">
        <f>IFERROR(__xludf.DUMMYFUNCTION("""COMPUTED_VALUE"""),"Ackerman")</f>
        <v>Ackerman</v>
      </c>
      <c r="D25" s="140">
        <f>IFERROR(__xludf.DUMMYFUNCTION("""COMPUTED_VALUE"""),34.35)</f>
        <v>34.35</v>
      </c>
      <c r="E25" s="140">
        <f>IFERROR(__xludf.DUMMYFUNCTION("""COMPUTED_VALUE"""),34.0)</f>
        <v>34</v>
      </c>
      <c r="F25" s="140">
        <f>IFERROR(__xludf.DUMMYFUNCTION("""COMPUTED_VALUE"""),0.35)</f>
        <v>0.35</v>
      </c>
      <c r="G25" s="140">
        <f>IFERROR(__xludf.DUMMYFUNCTION("""COMPUTED_VALUE"""),0.0)</f>
        <v>0</v>
      </c>
    </row>
    <row r="26">
      <c r="B26" s="141">
        <f>IFERROR(__xludf.DUMMYFUNCTION("""COMPUTED_VALUE"""),24.0)</f>
        <v>24</v>
      </c>
      <c r="C26" s="111" t="str">
        <f>IFERROR(__xludf.DUMMYFUNCTION("""COMPUTED_VALUE"""),"Duhari Racing Team")</f>
        <v>Duhari Racing Team</v>
      </c>
      <c r="D26" s="140">
        <f>IFERROR(__xludf.DUMMYFUNCTION("""COMPUTED_VALUE"""),27.0)</f>
        <v>27</v>
      </c>
      <c r="E26" s="140">
        <f>IFERROR(__xludf.DUMMYFUNCTION("""COMPUTED_VALUE"""),0.0)</f>
        <v>0</v>
      </c>
      <c r="F26" s="140">
        <f>IFERROR(__xludf.DUMMYFUNCTION("""COMPUTED_VALUE"""),0.0)</f>
        <v>0</v>
      </c>
      <c r="G26" s="140">
        <f>IFERROR(__xludf.DUMMYFUNCTION("""COMPUTED_VALUE"""),27.0)</f>
        <v>27</v>
      </c>
    </row>
    <row r="27">
      <c r="B27" s="141">
        <f>IFERROR(__xludf.DUMMYFUNCTION("""COMPUTED_VALUE"""),25.0)</f>
        <v>25</v>
      </c>
      <c r="C27" s="111" t="str">
        <f>IFERROR(__xludf.DUMMYFUNCTION("""COMPUTED_VALUE"""),"NIPETWORKS")</f>
        <v>NIPETWORKS</v>
      </c>
      <c r="D27" s="140">
        <f>IFERROR(__xludf.DUMMYFUNCTION("""COMPUTED_VALUE"""),27.0)</f>
        <v>27</v>
      </c>
      <c r="E27" s="140">
        <f>IFERROR(__xludf.DUMMYFUNCTION("""COMPUTED_VALUE"""),0.0)</f>
        <v>0</v>
      </c>
      <c r="F27" s="140">
        <f>IFERROR(__xludf.DUMMYFUNCTION("""COMPUTED_VALUE"""),0.0)</f>
        <v>0</v>
      </c>
      <c r="G27" s="140">
        <f>IFERROR(__xludf.DUMMYFUNCTION("""COMPUTED_VALUE"""),27.0)</f>
        <v>27</v>
      </c>
    </row>
    <row r="28">
      <c r="B28" s="141">
        <f>IFERROR(__xludf.DUMMYFUNCTION("""COMPUTED_VALUE"""),26.0)</f>
        <v>26</v>
      </c>
      <c r="C28" s="111" t="str">
        <f>IFERROR(__xludf.DUMMYFUNCTION("""COMPUTED_VALUE"""),"Avenger Drift Team")</f>
        <v>Avenger Drift Team</v>
      </c>
      <c r="D28" s="140">
        <f>IFERROR(__xludf.DUMMYFUNCTION("""COMPUTED_VALUE"""),25.0)</f>
        <v>25</v>
      </c>
      <c r="E28" s="140">
        <f>IFERROR(__xludf.DUMMYFUNCTION("""COMPUTED_VALUE"""),0.0)</f>
        <v>0</v>
      </c>
      <c r="F28" s="140">
        <f>IFERROR(__xludf.DUMMYFUNCTION("""COMPUTED_VALUE"""),0.0)</f>
        <v>0</v>
      </c>
      <c r="G28" s="140">
        <f>IFERROR(__xludf.DUMMYFUNCTION("""COMPUTED_VALUE"""),25.0)</f>
        <v>25</v>
      </c>
    </row>
    <row r="29">
      <c r="B29" s="141">
        <f>IFERROR(__xludf.DUMMYFUNCTION("""COMPUTED_VALUE"""),27.0)</f>
        <v>27</v>
      </c>
      <c r="C29" s="111" t="str">
        <f>IFERROR(__xludf.DUMMYFUNCTION("""COMPUTED_VALUE"""),"Martat Racing")</f>
        <v>Martat Racing</v>
      </c>
      <c r="D29" s="140">
        <f>IFERROR(__xludf.DUMMYFUNCTION("""COMPUTED_VALUE"""),25.0)</f>
        <v>25</v>
      </c>
      <c r="E29" s="140">
        <f>IFERROR(__xludf.DUMMYFUNCTION("""COMPUTED_VALUE"""),24.0)</f>
        <v>24</v>
      </c>
      <c r="F29" s="140">
        <f>IFERROR(__xludf.DUMMYFUNCTION("""COMPUTED_VALUE"""),1.0)</f>
        <v>1</v>
      </c>
      <c r="G29" s="140">
        <f>IFERROR(__xludf.DUMMYFUNCTION("""COMPUTED_VALUE"""),0.0)</f>
        <v>0</v>
      </c>
    </row>
    <row r="30">
      <c r="B30" s="141">
        <f>IFERROR(__xludf.DUMMYFUNCTION("""COMPUTED_VALUE"""),28.0)</f>
        <v>28</v>
      </c>
      <c r="C30" s="111" t="str">
        <f>IFERROR(__xludf.DUMMYFUNCTION("""COMPUTED_VALUE"""),"Trap House")</f>
        <v>Trap House</v>
      </c>
      <c r="D30" s="140">
        <f>IFERROR(__xludf.DUMMYFUNCTION("""COMPUTED_VALUE"""),24.5)</f>
        <v>24.5</v>
      </c>
      <c r="E30" s="140">
        <f>IFERROR(__xludf.DUMMYFUNCTION("""COMPUTED_VALUE"""),24.0)</f>
        <v>24</v>
      </c>
      <c r="F30" s="140">
        <f>IFERROR(__xludf.DUMMYFUNCTION("""COMPUTED_VALUE"""),0.5)</f>
        <v>0.5</v>
      </c>
      <c r="G30" s="140">
        <f>IFERROR(__xludf.DUMMYFUNCTION("""COMPUTED_VALUE"""),0.0)</f>
        <v>0</v>
      </c>
    </row>
    <row r="31">
      <c r="B31" s="141">
        <f>IFERROR(__xludf.DUMMYFUNCTION("""COMPUTED_VALUE"""),29.0)</f>
        <v>29</v>
      </c>
      <c r="C31" s="111" t="str">
        <f>IFERROR(__xludf.DUMMYFUNCTION("""COMPUTED_VALUE"""),"VLDČ")</f>
        <v>VLDČ</v>
      </c>
      <c r="D31" s="140">
        <f>IFERROR(__xludf.DUMMYFUNCTION("""COMPUTED_VALUE"""),24.25)</f>
        <v>24.25</v>
      </c>
      <c r="E31" s="140">
        <f>IFERROR(__xludf.DUMMYFUNCTION("""COMPUTED_VALUE"""),0.0)</f>
        <v>0</v>
      </c>
      <c r="F31" s="140">
        <f>IFERROR(__xludf.DUMMYFUNCTION("""COMPUTED_VALUE"""),0.0)</f>
        <v>0</v>
      </c>
      <c r="G31" s="140">
        <f>IFERROR(__xludf.DUMMYFUNCTION("""COMPUTED_VALUE"""),24.25)</f>
        <v>24.25</v>
      </c>
    </row>
    <row r="32">
      <c r="B32" s="141">
        <f>IFERROR(__xludf.DUMMYFUNCTION("""COMPUTED_VALUE"""),30.0)</f>
        <v>30</v>
      </c>
      <c r="C32" s="111" t="str">
        <f>IFERROR(__xludf.DUMMYFUNCTION("""COMPUTED_VALUE"""),"J-STYLE")</f>
        <v>J-STYLE</v>
      </c>
      <c r="D32" s="140">
        <f>IFERROR(__xludf.DUMMYFUNCTION("""COMPUTED_VALUE"""),24.25)</f>
        <v>24.25</v>
      </c>
      <c r="E32" s="140">
        <f>IFERROR(__xludf.DUMMYFUNCTION("""COMPUTED_VALUE"""),0.0)</f>
        <v>0</v>
      </c>
      <c r="F32" s="140">
        <f>IFERROR(__xludf.DUMMYFUNCTION("""COMPUTED_VALUE"""),0.0)</f>
        <v>0</v>
      </c>
      <c r="G32" s="140">
        <f>IFERROR(__xludf.DUMMYFUNCTION("""COMPUTED_VALUE"""),24.25)</f>
        <v>24.25</v>
      </c>
    </row>
    <row r="33">
      <c r="B33" s="141">
        <f>IFERROR(__xludf.DUMMYFUNCTION("""COMPUTED_VALUE"""),31.0)</f>
        <v>31</v>
      </c>
      <c r="C33" s="111" t="str">
        <f>IFERROR(__xludf.DUMMYFUNCTION("""COMPUTED_VALUE"""),"PROXIMITER ACADEMY")</f>
        <v>PROXIMITER ACADEMY</v>
      </c>
      <c r="D33" s="140">
        <f>IFERROR(__xludf.DUMMYFUNCTION("""COMPUTED_VALUE"""),20.2)</f>
        <v>20.2</v>
      </c>
      <c r="E33" s="140">
        <f>IFERROR(__xludf.DUMMYFUNCTION("""COMPUTED_VALUE"""),0.0)</f>
        <v>0</v>
      </c>
      <c r="F33" s="140">
        <f>IFERROR(__xludf.DUMMYFUNCTION("""COMPUTED_VALUE"""),0.0)</f>
        <v>0</v>
      </c>
      <c r="G33" s="140">
        <f>IFERROR(__xludf.DUMMYFUNCTION("""COMPUTED_VALUE"""),20.2)</f>
        <v>20.2</v>
      </c>
    </row>
    <row r="34">
      <c r="B34" s="141">
        <f>IFERROR(__xludf.DUMMYFUNCTION("""COMPUTED_VALUE"""),32.0)</f>
        <v>32</v>
      </c>
      <c r="C34" s="111" t="str">
        <f>IFERROR(__xludf.DUMMYFUNCTION("""COMPUTED_VALUE"""),"VAK Racing Team")</f>
        <v>VAK Racing Team</v>
      </c>
      <c r="D34" s="140">
        <f>IFERROR(__xludf.DUMMYFUNCTION("""COMPUTED_VALUE"""),10.1)</f>
        <v>10.1</v>
      </c>
      <c r="E34" s="140">
        <f>IFERROR(__xludf.DUMMYFUNCTION("""COMPUTED_VALUE"""),0.0)</f>
        <v>0</v>
      </c>
      <c r="F34" s="140">
        <f>IFERROR(__xludf.DUMMYFUNCTION("""COMPUTED_VALUE"""),0.0)</f>
        <v>0</v>
      </c>
      <c r="G34" s="140">
        <f>IFERROR(__xludf.DUMMYFUNCTION("""COMPUTED_VALUE"""),10.1)</f>
        <v>10.1</v>
      </c>
    </row>
    <row r="35">
      <c r="B35" s="141">
        <f>IFERROR(__xludf.DUMMYFUNCTION("""COMPUTED_VALUE"""),33.0)</f>
        <v>33</v>
      </c>
      <c r="C35" s="111" t="str">
        <f>IFERROR(__xludf.DUMMYFUNCTION("""COMPUTED_VALUE"""),"Kamimoto")</f>
        <v>Kamimoto</v>
      </c>
      <c r="D35" s="140">
        <f>IFERROR(__xludf.DUMMYFUNCTION("""COMPUTED_VALUE"""),10.1)</f>
        <v>10.1</v>
      </c>
      <c r="E35" s="140">
        <f>IFERROR(__xludf.DUMMYFUNCTION("""COMPUTED_VALUE"""),0.0)</f>
        <v>0</v>
      </c>
      <c r="F35" s="140">
        <f>IFERROR(__xludf.DUMMYFUNCTION("""COMPUTED_VALUE"""),0.0)</f>
        <v>0</v>
      </c>
      <c r="G35" s="140">
        <f>IFERROR(__xludf.DUMMYFUNCTION("""COMPUTED_VALUE"""),10.1)</f>
        <v>10.1</v>
      </c>
    </row>
    <row r="36">
      <c r="B36" s="141">
        <f>IFERROR(__xludf.DUMMYFUNCTION("""COMPUTED_VALUE"""),34.0)</f>
        <v>34</v>
      </c>
      <c r="C36" s="111" t="str">
        <f>IFERROR(__xludf.DUMMYFUNCTION("""COMPUTED_VALUE"""),"UWAGA Motorsport")</f>
        <v>UWAGA Motorsport</v>
      </c>
      <c r="D36" s="140">
        <f>IFERROR(__xludf.DUMMYFUNCTION("""COMPUTED_VALUE"""),10.1)</f>
        <v>10.1</v>
      </c>
      <c r="E36" s="140">
        <f>IFERROR(__xludf.DUMMYFUNCTION("""COMPUTED_VALUE"""),0.0)</f>
        <v>0</v>
      </c>
      <c r="F36" s="140">
        <f>IFERROR(__xludf.DUMMYFUNCTION("""COMPUTED_VALUE"""),0.0)</f>
        <v>0</v>
      </c>
      <c r="G36" s="140">
        <f>IFERROR(__xludf.DUMMYFUNCTION("""COMPUTED_VALUE"""),10.1)</f>
        <v>10.1</v>
      </c>
    </row>
    <row r="37">
      <c r="B37" s="141">
        <f>IFERROR(__xludf.DUMMYFUNCTION("""COMPUTED_VALUE"""),35.0)</f>
        <v>35</v>
      </c>
      <c r="C37" s="111" t="str">
        <f>IFERROR(__xludf.DUMMYFUNCTION("""COMPUTED_VALUE"""),"AMS")</f>
        <v>AMS</v>
      </c>
      <c r="D37" s="140">
        <f>IFERROR(__xludf.DUMMYFUNCTION("""COMPUTED_VALUE"""),10.1)</f>
        <v>10.1</v>
      </c>
      <c r="E37" s="140">
        <f>IFERROR(__xludf.DUMMYFUNCTION("""COMPUTED_VALUE"""),0.0)</f>
        <v>0</v>
      </c>
      <c r="F37" s="140">
        <f>IFERROR(__xludf.DUMMYFUNCTION("""COMPUTED_VALUE"""),0.0)</f>
        <v>0</v>
      </c>
      <c r="G37" s="140">
        <f>IFERROR(__xludf.DUMMYFUNCTION("""COMPUTED_VALUE"""),10.1)</f>
        <v>10.1</v>
      </c>
    </row>
    <row r="38">
      <c r="B38" s="141">
        <f>IFERROR(__xludf.DUMMYFUNCTION("""COMPUTED_VALUE"""),36.0)</f>
        <v>36</v>
      </c>
      <c r="C38" s="111" t="str">
        <f>IFERROR(__xludf.DUMMYFUNCTION("""COMPUTED_VALUE"""),"Līkumslīdis")</f>
        <v>Līkumslīdis</v>
      </c>
      <c r="D38" s="140">
        <f>IFERROR(__xludf.DUMMYFUNCTION("""COMPUTED_VALUE"""),10.1)</f>
        <v>10.1</v>
      </c>
      <c r="E38" s="140">
        <f>IFERROR(__xludf.DUMMYFUNCTION("""COMPUTED_VALUE"""),0.0)</f>
        <v>0</v>
      </c>
      <c r="F38" s="140">
        <f>IFERROR(__xludf.DUMMYFUNCTION("""COMPUTED_VALUE"""),0.0)</f>
        <v>0</v>
      </c>
      <c r="G38" s="140">
        <f>IFERROR(__xludf.DUMMYFUNCTION("""COMPUTED_VALUE"""),10.1)</f>
        <v>10.1</v>
      </c>
    </row>
    <row r="39">
      <c r="B39" s="141">
        <f>IFERROR(__xludf.DUMMYFUNCTION("""COMPUTED_VALUE"""),37.0)</f>
        <v>37</v>
      </c>
      <c r="C39" s="111" t="str">
        <f>IFERROR(__xludf.DUMMYFUNCTION("""COMPUTED_VALUE"""),"Drift Unity")</f>
        <v>Drift Unity</v>
      </c>
      <c r="D39" s="140">
        <f>IFERROR(__xludf.DUMMYFUNCTION("""COMPUTED_VALUE"""),10.1)</f>
        <v>10.1</v>
      </c>
      <c r="E39" s="140">
        <f>IFERROR(__xludf.DUMMYFUNCTION("""COMPUTED_VALUE"""),0.0)</f>
        <v>0</v>
      </c>
      <c r="F39" s="140">
        <f>IFERROR(__xludf.DUMMYFUNCTION("""COMPUTED_VALUE"""),0.0)</f>
        <v>0</v>
      </c>
      <c r="G39" s="140">
        <f>IFERROR(__xludf.DUMMYFUNCTION("""COMPUTED_VALUE"""),10.1)</f>
        <v>10.1</v>
      </c>
    </row>
    <row r="40">
      <c r="B40" s="141">
        <f>IFERROR(__xludf.DUMMYFUNCTION("""COMPUTED_VALUE"""),38.0)</f>
        <v>38</v>
      </c>
      <c r="C40" s="111" t="str">
        <f>IFERROR(__xludf.DUMMYFUNCTION("""COMPUTED_VALUE"""),"Epic sim racing")</f>
        <v>Epic sim racing</v>
      </c>
      <c r="D40" s="140">
        <f>IFERROR(__xludf.DUMMYFUNCTION("""COMPUTED_VALUE"""),10.1)</f>
        <v>10.1</v>
      </c>
      <c r="E40" s="140">
        <f>IFERROR(__xludf.DUMMYFUNCTION("""COMPUTED_VALUE"""),0.0)</f>
        <v>0</v>
      </c>
      <c r="F40" s="140">
        <f>IFERROR(__xludf.DUMMYFUNCTION("""COMPUTED_VALUE"""),0.0)</f>
        <v>0</v>
      </c>
      <c r="G40" s="140">
        <f>IFERROR(__xludf.DUMMYFUNCTION("""COMPUTED_VALUE"""),10.1)</f>
        <v>10.1</v>
      </c>
    </row>
    <row r="41">
      <c r="B41" s="141"/>
      <c r="C41" s="111" t="str">
        <f>IFERROR(__xludf.DUMMYFUNCTION("""COMPUTED_VALUE"""),"Race place Team")</f>
        <v>Race place Team</v>
      </c>
      <c r="D41" s="140">
        <f>IFERROR(__xludf.DUMMYFUNCTION("""COMPUTED_VALUE"""),10.1)</f>
        <v>10.1</v>
      </c>
      <c r="E41" s="141"/>
      <c r="F41" s="141"/>
      <c r="G41" s="141"/>
    </row>
    <row r="42">
      <c r="B42" s="141"/>
      <c r="C42" s="111" t="str">
        <f>IFERROR(__xludf.DUMMYFUNCTION("""COMPUTED_VALUE"""),"9x")</f>
        <v>9x</v>
      </c>
      <c r="D42" s="140">
        <f>IFERROR(__xludf.DUMMYFUNCTION("""COMPUTED_VALUE"""),10.1)</f>
        <v>10.1</v>
      </c>
      <c r="E42" s="141"/>
      <c r="F42" s="141"/>
      <c r="G42" s="141"/>
    </row>
    <row r="43">
      <c r="B43" s="141"/>
      <c r="C43" s="111" t="str">
        <f>IFERROR(__xludf.DUMMYFUNCTION("""COMPUTED_VALUE"""),"Smoke Drift Team")</f>
        <v>Smoke Drift Team</v>
      </c>
      <c r="D43" s="140">
        <f>IFERROR(__xludf.DUMMYFUNCTION("""COMPUTED_VALUE"""),0.0)</f>
        <v>0</v>
      </c>
      <c r="E43" s="141"/>
      <c r="F43" s="141"/>
      <c r="G43" s="141"/>
    </row>
    <row r="44">
      <c r="B44" s="141"/>
      <c r="C44" s="111" t="str">
        <f>IFERROR(__xludf.DUMMYFUNCTION("""COMPUTED_VALUE"""),"alone")</f>
        <v>alone</v>
      </c>
      <c r="D44" s="140">
        <f>IFERROR(__xludf.DUMMYFUNCTION("""COMPUTED_VALUE"""),0.0)</f>
        <v>0</v>
      </c>
      <c r="E44" s="141"/>
      <c r="F44" s="141"/>
      <c r="G44" s="141"/>
    </row>
    <row r="45">
      <c r="B45" s="141"/>
      <c r="C45" s="111" t="str">
        <f>IFERROR(__xludf.DUMMYFUNCTION("""COMPUTED_VALUE"""),"Garage 55")</f>
        <v>Garage 55</v>
      </c>
      <c r="D45" s="140">
        <f>IFERROR(__xludf.DUMMYFUNCTION("""COMPUTED_VALUE"""),0.0)</f>
        <v>0</v>
      </c>
      <c r="E45" s="141"/>
      <c r="F45" s="141"/>
      <c r="G45" s="141"/>
    </row>
    <row r="46">
      <c r="B46" s="141"/>
      <c r="C46" s="111" t="str">
        <f>IFERROR(__xludf.DUMMYFUNCTION("""COMPUTED_VALUE"""),"Lock 2 lock")</f>
        <v>Lock 2 lock</v>
      </c>
      <c r="D46" s="140">
        <f>IFERROR(__xludf.DUMMYFUNCTION("""COMPUTED_VALUE"""),0.0)</f>
        <v>0</v>
      </c>
      <c r="E46" s="141"/>
      <c r="F46" s="141"/>
      <c r="G46" s="141"/>
    </row>
    <row r="47">
      <c r="B47" s="141"/>
      <c r="C47" s="111" t="str">
        <f>IFERROR(__xludf.DUMMYFUNCTION("""COMPUTED_VALUE"""),"Tultsi Teine Tulek")</f>
        <v>Tultsi Teine Tulek</v>
      </c>
      <c r="D47" s="140">
        <f>IFERROR(__xludf.DUMMYFUNCTION("""COMPUTED_VALUE"""),0.0)</f>
        <v>0</v>
      </c>
      <c r="E47" s="141"/>
      <c r="F47" s="141"/>
      <c r="G47" s="141"/>
    </row>
    <row r="48">
      <c r="B48" s="141"/>
      <c r="C48" s="111" t="str">
        <f>IFERROR(__xludf.DUMMYFUNCTION("""COMPUTED_VALUE"""),"Ahern Motorsport")</f>
        <v>Ahern Motorsport</v>
      </c>
      <c r="D48" s="140">
        <f>IFERROR(__xludf.DUMMYFUNCTION("""COMPUTED_VALUE"""),0.0)</f>
        <v>0</v>
      </c>
      <c r="E48" s="141"/>
      <c r="F48" s="141"/>
      <c r="G48" s="141"/>
    </row>
    <row r="49">
      <c r="B49" s="141"/>
      <c r="C49" s="111" t="str">
        <f>IFERROR(__xludf.DUMMYFUNCTION("""COMPUTED_VALUE"""),"443 motorsport")</f>
        <v>443 motorsport</v>
      </c>
      <c r="D49" s="140">
        <f>IFERROR(__xludf.DUMMYFUNCTION("""COMPUTED_VALUE"""),0.0)</f>
        <v>0</v>
      </c>
      <c r="E49" s="141"/>
      <c r="F49" s="141"/>
      <c r="G49" s="141"/>
    </row>
    <row r="50">
      <c r="B50" s="141"/>
      <c r="C50" s="111" t="str">
        <f>IFERROR(__xludf.DUMMYFUNCTION("""COMPUTED_VALUE"""),"dpracing")</f>
        <v>dpracing</v>
      </c>
      <c r="D50" s="140">
        <f>IFERROR(__xludf.DUMMYFUNCTION("""COMPUTED_VALUE"""),0.0)</f>
        <v>0</v>
      </c>
      <c r="E50" s="141"/>
      <c r="F50" s="141"/>
      <c r="G50" s="141"/>
    </row>
    <row r="51">
      <c r="B51" s="141"/>
      <c r="C51" s="111" t="str">
        <f>IFERROR(__xludf.DUMMYFUNCTION("""COMPUTED_VALUE"""),"RacePlace")</f>
        <v>RacePlace</v>
      </c>
      <c r="D51" s="140">
        <f>IFERROR(__xludf.DUMMYFUNCTION("""COMPUTED_VALUE"""),0.0)</f>
        <v>0</v>
      </c>
      <c r="E51" s="141"/>
      <c r="F51" s="141"/>
      <c r="G51" s="141"/>
    </row>
    <row r="52">
      <c r="B52" s="141"/>
      <c r="C52" s="111"/>
      <c r="D52" s="141"/>
      <c r="E52" s="141"/>
      <c r="F52" s="141"/>
      <c r="G52" s="141"/>
    </row>
    <row r="53">
      <c r="B53" s="141"/>
      <c r="C53" s="111"/>
      <c r="D53" s="141"/>
      <c r="E53" s="141"/>
      <c r="F53" s="141"/>
      <c r="G53" s="141"/>
    </row>
    <row r="54">
      <c r="B54" s="141"/>
      <c r="C54" s="111"/>
      <c r="D54" s="141"/>
      <c r="E54" s="141"/>
      <c r="F54" s="141"/>
      <c r="G54" s="141"/>
    </row>
    <row r="55">
      <c r="B55" s="141"/>
      <c r="C55" s="111"/>
      <c r="D55" s="141"/>
      <c r="E55" s="141"/>
      <c r="F55" s="141"/>
      <c r="G55" s="141"/>
    </row>
    <row r="56">
      <c r="B56" s="141"/>
      <c r="C56" s="111"/>
      <c r="D56" s="141"/>
      <c r="E56" s="141"/>
      <c r="F56" s="141"/>
      <c r="G56" s="141"/>
    </row>
    <row r="57">
      <c r="B57" s="141"/>
      <c r="C57" s="111"/>
      <c r="D57" s="141"/>
      <c r="E57" s="141"/>
      <c r="F57" s="141"/>
      <c r="G57" s="141"/>
    </row>
    <row r="58">
      <c r="B58" s="141"/>
      <c r="C58" s="111"/>
      <c r="D58" s="141"/>
      <c r="E58" s="141"/>
      <c r="F58" s="141"/>
      <c r="G58" s="141"/>
    </row>
    <row r="59">
      <c r="B59" s="141"/>
      <c r="C59" s="111"/>
      <c r="D59" s="141"/>
      <c r="E59" s="141"/>
      <c r="F59" s="141"/>
      <c r="G59" s="141"/>
    </row>
    <row r="60">
      <c r="B60" s="141"/>
      <c r="C60" s="111"/>
      <c r="D60" s="141"/>
      <c r="E60" s="141"/>
      <c r="F60" s="141"/>
      <c r="G60" s="141"/>
    </row>
    <row r="61">
      <c r="B61" s="141"/>
      <c r="C61" s="111"/>
      <c r="D61" s="141"/>
      <c r="E61" s="141"/>
      <c r="F61" s="141"/>
      <c r="G61" s="141"/>
    </row>
    <row r="62">
      <c r="B62" s="141"/>
      <c r="C62" s="111"/>
      <c r="D62" s="141"/>
      <c r="E62" s="141"/>
      <c r="F62" s="141"/>
      <c r="G62" s="141"/>
    </row>
    <row r="63">
      <c r="B63" s="141"/>
      <c r="C63" s="111"/>
      <c r="D63" s="141"/>
      <c r="E63" s="141"/>
      <c r="F63" s="141"/>
      <c r="G63" s="141"/>
    </row>
    <row r="64">
      <c r="B64" s="141"/>
      <c r="C64" s="111"/>
      <c r="D64" s="141"/>
      <c r="E64" s="141"/>
      <c r="F64" s="141"/>
      <c r="G64" s="141"/>
    </row>
    <row r="65">
      <c r="B65" s="141"/>
      <c r="C65" s="111"/>
      <c r="D65" s="141"/>
      <c r="E65" s="141"/>
      <c r="F65" s="141"/>
      <c r="G65" s="141"/>
    </row>
    <row r="66">
      <c r="B66" s="141"/>
      <c r="C66" s="111"/>
      <c r="D66" s="141"/>
      <c r="E66" s="141"/>
      <c r="F66" s="141"/>
      <c r="G66" s="141"/>
    </row>
    <row r="67">
      <c r="B67" s="141"/>
      <c r="C67" s="111"/>
      <c r="D67" s="141"/>
      <c r="E67" s="141"/>
      <c r="F67" s="141"/>
      <c r="G67" s="141"/>
    </row>
    <row r="68">
      <c r="B68" s="141"/>
      <c r="C68" s="111"/>
      <c r="D68" s="141"/>
      <c r="E68" s="141"/>
      <c r="F68" s="141"/>
      <c r="G68" s="141"/>
    </row>
    <row r="69">
      <c r="B69" s="141"/>
      <c r="C69" s="111"/>
      <c r="D69" s="141"/>
      <c r="E69" s="141"/>
      <c r="F69" s="141"/>
      <c r="G69" s="141"/>
    </row>
    <row r="70">
      <c r="B70" s="141"/>
      <c r="C70" s="111"/>
      <c r="D70" s="141"/>
      <c r="E70" s="141"/>
      <c r="F70" s="141"/>
      <c r="G70" s="141"/>
    </row>
    <row r="71">
      <c r="B71" s="141"/>
      <c r="C71" s="111"/>
      <c r="D71" s="141"/>
      <c r="E71" s="141"/>
      <c r="F71" s="141"/>
      <c r="G71" s="141"/>
    </row>
    <row r="72">
      <c r="B72" s="141"/>
      <c r="C72" s="111"/>
      <c r="D72" s="141"/>
      <c r="E72" s="141"/>
      <c r="F72" s="141"/>
      <c r="G72" s="141"/>
    </row>
    <row r="73">
      <c r="B73" s="141"/>
      <c r="C73" s="111"/>
      <c r="D73" s="141"/>
      <c r="E73" s="141"/>
      <c r="F73" s="141"/>
      <c r="G73" s="141"/>
    </row>
    <row r="74">
      <c r="B74" s="141"/>
      <c r="C74" s="111"/>
      <c r="D74" s="141"/>
      <c r="E74" s="141"/>
      <c r="F74" s="141"/>
      <c r="G74" s="141"/>
    </row>
    <row r="75">
      <c r="B75" s="141"/>
      <c r="C75" s="111"/>
      <c r="D75" s="141"/>
      <c r="E75" s="141"/>
      <c r="F75" s="141"/>
      <c r="G75" s="141"/>
    </row>
    <row r="76">
      <c r="B76" s="141"/>
      <c r="C76" s="111"/>
      <c r="D76" s="141"/>
      <c r="E76" s="141"/>
      <c r="F76" s="141"/>
      <c r="G76" s="141"/>
    </row>
    <row r="77">
      <c r="B77" s="141"/>
      <c r="C77" s="111"/>
      <c r="D77" s="141"/>
      <c r="E77" s="141"/>
      <c r="F77" s="141"/>
      <c r="G77" s="141"/>
    </row>
    <row r="78">
      <c r="B78" s="141"/>
      <c r="C78" s="111"/>
      <c r="D78" s="141"/>
      <c r="E78" s="141"/>
      <c r="F78" s="141"/>
      <c r="G78" s="141"/>
    </row>
    <row r="79">
      <c r="B79" s="141"/>
      <c r="C79" s="111"/>
      <c r="D79" s="141"/>
      <c r="E79" s="141"/>
      <c r="F79" s="141"/>
      <c r="G79" s="141"/>
    </row>
    <row r="80">
      <c r="B80" s="141"/>
      <c r="C80" s="111"/>
      <c r="D80" s="141"/>
      <c r="E80" s="141"/>
      <c r="F80" s="141"/>
      <c r="G80" s="141"/>
    </row>
    <row r="81">
      <c r="B81" s="141"/>
      <c r="C81" s="111"/>
      <c r="D81" s="141"/>
      <c r="E81" s="141"/>
      <c r="F81" s="141"/>
      <c r="G81" s="141"/>
    </row>
    <row r="82">
      <c r="B82" s="141"/>
      <c r="C82" s="111"/>
      <c r="D82" s="141"/>
      <c r="E82" s="141"/>
      <c r="F82" s="141"/>
      <c r="G82" s="141"/>
    </row>
    <row r="83">
      <c r="B83" s="141"/>
      <c r="C83" s="111"/>
      <c r="D83" s="141"/>
      <c r="E83" s="141"/>
      <c r="F83" s="141"/>
      <c r="G83" s="141"/>
    </row>
    <row r="84">
      <c r="B84" s="141"/>
      <c r="C84" s="111"/>
      <c r="D84" s="141"/>
      <c r="E84" s="141"/>
      <c r="F84" s="141"/>
      <c r="G84" s="141"/>
    </row>
    <row r="85">
      <c r="B85" s="141"/>
      <c r="C85" s="111"/>
      <c r="D85" s="141"/>
      <c r="E85" s="141"/>
      <c r="F85" s="141"/>
      <c r="G85" s="141"/>
    </row>
    <row r="86">
      <c r="B86" s="141"/>
      <c r="C86" s="111"/>
      <c r="D86" s="141"/>
      <c r="E86" s="141"/>
      <c r="F86" s="141"/>
      <c r="G86" s="141"/>
    </row>
    <row r="87">
      <c r="B87" s="141"/>
      <c r="C87" s="111"/>
      <c r="D87" s="141"/>
      <c r="E87" s="141"/>
      <c r="F87" s="141"/>
      <c r="G87" s="141"/>
    </row>
    <row r="88">
      <c r="B88" s="141"/>
      <c r="C88" s="111"/>
      <c r="D88" s="141"/>
      <c r="E88" s="141"/>
      <c r="F88" s="141"/>
      <c r="G88" s="141"/>
    </row>
    <row r="89">
      <c r="B89" s="111"/>
      <c r="C89" s="111"/>
      <c r="D89" s="141"/>
      <c r="E89" s="141"/>
      <c r="F89" s="141"/>
      <c r="G89" s="141"/>
    </row>
    <row r="90">
      <c r="B90" s="111"/>
      <c r="C90" s="111"/>
      <c r="D90" s="141"/>
      <c r="E90" s="141"/>
      <c r="F90" s="141"/>
      <c r="G90" s="141"/>
    </row>
    <row r="91">
      <c r="B91" s="111"/>
      <c r="C91" s="111"/>
      <c r="D91" s="141"/>
      <c r="E91" s="141"/>
      <c r="F91" s="141"/>
      <c r="G91" s="141"/>
    </row>
    <row r="92">
      <c r="B92" s="111"/>
      <c r="C92" s="111"/>
      <c r="D92" s="141"/>
      <c r="E92" s="141"/>
      <c r="F92" s="141"/>
      <c r="G92" s="141"/>
    </row>
    <row r="93">
      <c r="B93" s="111"/>
      <c r="C93" s="111"/>
      <c r="D93" s="141"/>
      <c r="E93" s="141"/>
      <c r="F93" s="141"/>
      <c r="G93" s="141"/>
    </row>
    <row r="94">
      <c r="B94" s="111"/>
      <c r="C94" s="111"/>
      <c r="D94" s="141"/>
      <c r="E94" s="141"/>
      <c r="F94" s="141"/>
      <c r="G94" s="141"/>
    </row>
    <row r="95">
      <c r="B95" s="111"/>
      <c r="C95" s="111"/>
      <c r="D95" s="141"/>
      <c r="E95" s="141"/>
      <c r="F95" s="141"/>
      <c r="G95" s="141"/>
    </row>
    <row r="96">
      <c r="B96" s="111"/>
      <c r="C96" s="111"/>
      <c r="D96" s="141"/>
      <c r="E96" s="141"/>
      <c r="F96" s="141"/>
      <c r="G96" s="141"/>
    </row>
    <row r="97">
      <c r="B97" s="111"/>
      <c r="C97" s="111"/>
      <c r="D97" s="141"/>
      <c r="E97" s="141"/>
      <c r="F97" s="141"/>
      <c r="G97" s="141"/>
    </row>
    <row r="98">
      <c r="B98" s="111"/>
      <c r="C98" s="111"/>
      <c r="D98" s="141"/>
      <c r="E98" s="141"/>
      <c r="F98" s="141"/>
      <c r="G98" s="141"/>
    </row>
    <row r="99">
      <c r="B99" s="111"/>
      <c r="C99" s="111"/>
      <c r="D99" s="141"/>
      <c r="E99" s="141"/>
      <c r="F99" s="141"/>
      <c r="G99" s="141"/>
    </row>
    <row r="100">
      <c r="B100" s="111"/>
      <c r="C100" s="111"/>
      <c r="D100" s="141"/>
      <c r="E100" s="141"/>
      <c r="F100" s="141"/>
      <c r="G100" s="141"/>
    </row>
    <row r="101">
      <c r="B101" s="111"/>
      <c r="C101" s="111"/>
      <c r="D101" s="141"/>
      <c r="E101" s="141"/>
      <c r="F101" s="141"/>
      <c r="G101" s="141"/>
    </row>
    <row r="102">
      <c r="B102" s="111"/>
      <c r="C102" s="111"/>
      <c r="D102" s="141"/>
      <c r="E102" s="141"/>
      <c r="F102" s="141"/>
      <c r="G102" s="141"/>
    </row>
    <row r="103">
      <c r="B103" s="111"/>
      <c r="C103" s="111"/>
      <c r="D103" s="141"/>
      <c r="E103" s="141"/>
      <c r="F103" s="141"/>
      <c r="G103" s="141"/>
    </row>
    <row r="104">
      <c r="B104" s="111"/>
      <c r="C104" s="111"/>
      <c r="D104" s="141"/>
      <c r="E104" s="141"/>
      <c r="F104" s="141"/>
      <c r="G104" s="141"/>
    </row>
    <row r="105">
      <c r="B105" s="111"/>
      <c r="C105" s="111"/>
      <c r="D105" s="141"/>
      <c r="E105" s="141"/>
      <c r="F105" s="141"/>
      <c r="G105" s="141"/>
    </row>
    <row r="106">
      <c r="B106" s="111"/>
      <c r="C106" s="111"/>
      <c r="D106" s="141"/>
      <c r="E106" s="141"/>
      <c r="F106" s="141"/>
      <c r="G106" s="141"/>
    </row>
    <row r="107">
      <c r="B107" s="111"/>
      <c r="C107" s="111"/>
      <c r="D107" s="141"/>
      <c r="E107" s="141"/>
      <c r="F107" s="141"/>
      <c r="G107" s="141"/>
    </row>
    <row r="108">
      <c r="B108" s="111"/>
      <c r="C108" s="111"/>
      <c r="D108" s="141"/>
      <c r="E108" s="141"/>
      <c r="F108" s="141"/>
      <c r="G108" s="141"/>
    </row>
    <row r="109">
      <c r="B109" s="111"/>
      <c r="C109" s="111"/>
      <c r="D109" s="141"/>
      <c r="E109" s="141"/>
      <c r="F109" s="141"/>
      <c r="G109" s="141"/>
    </row>
    <row r="110">
      <c r="B110" s="111"/>
      <c r="C110" s="111"/>
      <c r="D110" s="141"/>
      <c r="E110" s="141"/>
      <c r="F110" s="141"/>
      <c r="G110" s="141"/>
    </row>
    <row r="111">
      <c r="B111" s="111"/>
      <c r="C111" s="111"/>
      <c r="D111" s="141"/>
      <c r="E111" s="141"/>
      <c r="F111" s="141"/>
      <c r="G111" s="141"/>
    </row>
    <row r="112">
      <c r="B112" s="111"/>
      <c r="C112" s="111"/>
      <c r="D112" s="141"/>
      <c r="E112" s="141"/>
      <c r="F112" s="141"/>
      <c r="G112" s="141"/>
    </row>
    <row r="113">
      <c r="B113" s="111"/>
      <c r="C113" s="111"/>
      <c r="D113" s="141"/>
      <c r="E113" s="141"/>
      <c r="F113" s="141"/>
      <c r="G113" s="141"/>
    </row>
    <row r="114">
      <c r="B114" s="111"/>
      <c r="C114" s="111"/>
      <c r="D114" s="141"/>
      <c r="E114" s="141"/>
      <c r="F114" s="141"/>
      <c r="G114" s="141"/>
    </row>
    <row r="115">
      <c r="B115" s="111"/>
      <c r="C115" s="111"/>
      <c r="D115" s="141"/>
      <c r="E115" s="141"/>
      <c r="F115" s="141"/>
      <c r="G115" s="141"/>
    </row>
    <row r="116">
      <c r="B116" s="111"/>
      <c r="C116" s="111"/>
      <c r="D116" s="141"/>
      <c r="E116" s="141"/>
      <c r="F116" s="141"/>
      <c r="G116" s="141"/>
    </row>
    <row r="117">
      <c r="B117" s="111"/>
      <c r="C117" s="111"/>
      <c r="D117" s="141"/>
      <c r="E117" s="141"/>
      <c r="F117" s="141"/>
      <c r="G117" s="141"/>
    </row>
    <row r="118">
      <c r="B118" s="111"/>
      <c r="C118" s="111"/>
      <c r="D118" s="141"/>
      <c r="E118" s="141"/>
      <c r="F118" s="141"/>
      <c r="G118" s="141"/>
    </row>
    <row r="119">
      <c r="B119" s="111"/>
      <c r="C119" s="111"/>
      <c r="D119" s="141"/>
      <c r="E119" s="141"/>
      <c r="F119" s="141"/>
      <c r="G119" s="141"/>
    </row>
    <row r="120">
      <c r="B120" s="111"/>
      <c r="C120" s="111"/>
      <c r="D120" s="141"/>
      <c r="E120" s="141"/>
      <c r="F120" s="141"/>
      <c r="G120" s="141"/>
    </row>
    <row r="121">
      <c r="B121" s="111"/>
      <c r="C121" s="111"/>
      <c r="D121" s="141"/>
      <c r="E121" s="141"/>
      <c r="F121" s="141"/>
      <c r="G121" s="141"/>
    </row>
    <row r="122">
      <c r="B122" s="111"/>
      <c r="C122" s="111"/>
      <c r="D122" s="141"/>
      <c r="E122" s="141"/>
      <c r="F122" s="141"/>
      <c r="G122" s="141"/>
    </row>
    <row r="123">
      <c r="B123" s="111"/>
      <c r="C123" s="111"/>
      <c r="D123" s="141"/>
      <c r="E123" s="141"/>
      <c r="F123" s="141"/>
      <c r="G123" s="141"/>
    </row>
    <row r="124">
      <c r="B124" s="111"/>
      <c r="C124" s="111"/>
      <c r="D124" s="141"/>
      <c r="E124" s="141"/>
      <c r="F124" s="141"/>
      <c r="G124" s="141"/>
    </row>
    <row r="125">
      <c r="B125" s="111"/>
      <c r="C125" s="111"/>
      <c r="D125" s="141"/>
      <c r="E125" s="141"/>
      <c r="F125" s="141"/>
      <c r="G125" s="141"/>
    </row>
    <row r="126">
      <c r="B126" s="111"/>
      <c r="C126" s="111"/>
      <c r="D126" s="141"/>
      <c r="E126" s="141"/>
      <c r="F126" s="141"/>
      <c r="G126" s="141"/>
    </row>
    <row r="127">
      <c r="B127" s="111"/>
      <c r="C127" s="111"/>
      <c r="D127" s="141"/>
      <c r="E127" s="141"/>
      <c r="F127" s="141"/>
      <c r="G127" s="141"/>
    </row>
    <row r="128">
      <c r="B128" s="111"/>
      <c r="C128" s="111"/>
      <c r="D128" s="141"/>
      <c r="E128" s="141"/>
      <c r="F128" s="141"/>
      <c r="G128" s="141"/>
    </row>
    <row r="129">
      <c r="B129" s="111"/>
      <c r="C129" s="111"/>
      <c r="D129" s="141"/>
      <c r="E129" s="141"/>
      <c r="F129" s="141"/>
      <c r="G129" s="141"/>
    </row>
    <row r="130">
      <c r="B130" s="111"/>
      <c r="C130" s="111"/>
      <c r="D130" s="141"/>
      <c r="E130" s="141"/>
      <c r="F130" s="141"/>
      <c r="G130" s="141"/>
    </row>
    <row r="131">
      <c r="B131" s="111"/>
      <c r="C131" s="111"/>
      <c r="D131" s="141"/>
      <c r="E131" s="141"/>
      <c r="F131" s="141"/>
      <c r="G131" s="141"/>
    </row>
    <row r="132">
      <c r="B132" s="111"/>
      <c r="C132" s="111"/>
      <c r="D132" s="141"/>
      <c r="E132" s="141"/>
      <c r="F132" s="141"/>
      <c r="G132" s="141"/>
    </row>
    <row r="133">
      <c r="B133" s="111"/>
      <c r="C133" s="111"/>
      <c r="D133" s="141"/>
      <c r="E133" s="141"/>
      <c r="F133" s="141"/>
      <c r="G133" s="141"/>
    </row>
    <row r="134">
      <c r="B134" s="111"/>
      <c r="C134" s="111"/>
      <c r="D134" s="141"/>
      <c r="E134" s="141"/>
      <c r="F134" s="141"/>
      <c r="G134" s="141"/>
    </row>
    <row r="135">
      <c r="B135" s="111"/>
      <c r="C135" s="111"/>
      <c r="D135" s="141"/>
      <c r="E135" s="141"/>
      <c r="F135" s="141"/>
      <c r="G135" s="141"/>
    </row>
    <row r="136">
      <c r="B136" s="111"/>
      <c r="C136" s="111"/>
      <c r="D136" s="141"/>
      <c r="E136" s="141"/>
      <c r="F136" s="141"/>
      <c r="G136" s="141"/>
    </row>
    <row r="137">
      <c r="B137" s="111"/>
      <c r="C137" s="111"/>
      <c r="D137" s="141"/>
      <c r="E137" s="141"/>
      <c r="F137" s="141"/>
      <c r="G137" s="141"/>
    </row>
    <row r="138">
      <c r="B138" s="111"/>
      <c r="C138" s="111"/>
      <c r="D138" s="141"/>
      <c r="E138" s="141"/>
      <c r="F138" s="141"/>
      <c r="G138" s="141"/>
    </row>
    <row r="139">
      <c r="B139" s="111"/>
      <c r="C139" s="111"/>
      <c r="D139" s="141"/>
      <c r="E139" s="141"/>
      <c r="F139" s="141"/>
      <c r="G139" s="141"/>
    </row>
    <row r="140">
      <c r="B140" s="111"/>
      <c r="C140" s="111"/>
      <c r="D140" s="141"/>
      <c r="E140" s="141"/>
      <c r="F140" s="141"/>
      <c r="G140" s="141"/>
    </row>
    <row r="141">
      <c r="B141" s="111"/>
      <c r="C141" s="111"/>
      <c r="D141" s="141"/>
      <c r="E141" s="141"/>
      <c r="F141" s="141"/>
      <c r="G141" s="141"/>
    </row>
    <row r="142">
      <c r="B142" s="111"/>
      <c r="C142" s="111"/>
      <c r="D142" s="141"/>
      <c r="E142" s="141"/>
      <c r="F142" s="141"/>
      <c r="G142" s="141"/>
    </row>
    <row r="143">
      <c r="B143" s="111"/>
      <c r="C143" s="111"/>
      <c r="D143" s="141"/>
      <c r="E143" s="141"/>
      <c r="F143" s="141"/>
      <c r="G143" s="141"/>
    </row>
    <row r="144">
      <c r="B144" s="111"/>
      <c r="C144" s="111"/>
      <c r="D144" s="141"/>
      <c r="E144" s="141"/>
      <c r="F144" s="141"/>
      <c r="G144" s="141"/>
    </row>
    <row r="145">
      <c r="B145" s="111"/>
      <c r="C145" s="111"/>
      <c r="D145" s="141"/>
      <c r="E145" s="141"/>
      <c r="F145" s="141"/>
      <c r="G145" s="141"/>
    </row>
    <row r="146">
      <c r="B146" s="111"/>
      <c r="C146" s="111"/>
      <c r="D146" s="141"/>
      <c r="E146" s="141"/>
      <c r="F146" s="141"/>
      <c r="G146" s="141"/>
    </row>
    <row r="147">
      <c r="B147" s="111"/>
      <c r="C147" s="111"/>
      <c r="D147" s="141"/>
      <c r="E147" s="141"/>
      <c r="F147" s="141"/>
      <c r="G147" s="141"/>
    </row>
    <row r="148">
      <c r="B148" s="111"/>
      <c r="C148" s="111"/>
      <c r="D148" s="141"/>
      <c r="E148" s="141"/>
      <c r="F148" s="141"/>
      <c r="G148" s="141"/>
    </row>
    <row r="149">
      <c r="B149" s="111"/>
      <c r="C149" s="111"/>
      <c r="D149" s="141"/>
      <c r="E149" s="141"/>
      <c r="F149" s="141"/>
      <c r="G149" s="141"/>
    </row>
    <row r="150">
      <c r="B150" s="111"/>
      <c r="C150" s="111"/>
      <c r="D150" s="141"/>
      <c r="E150" s="141"/>
      <c r="F150" s="141"/>
      <c r="G150" s="141"/>
    </row>
    <row r="151">
      <c r="B151" s="111"/>
      <c r="C151" s="111"/>
      <c r="D151" s="141"/>
      <c r="E151" s="141"/>
      <c r="F151" s="141"/>
      <c r="G151" s="141"/>
    </row>
    <row r="152">
      <c r="B152" s="111"/>
      <c r="C152" s="111"/>
      <c r="D152" s="141"/>
      <c r="E152" s="141"/>
      <c r="F152" s="141"/>
      <c r="G152" s="141"/>
    </row>
    <row r="153">
      <c r="B153" s="111"/>
      <c r="C153" s="111"/>
      <c r="D153" s="141"/>
      <c r="E153" s="141"/>
      <c r="F153" s="141"/>
      <c r="G153" s="141"/>
    </row>
    <row r="154">
      <c r="B154" s="111"/>
      <c r="C154" s="111"/>
      <c r="D154" s="141"/>
      <c r="E154" s="141"/>
      <c r="F154" s="141"/>
      <c r="G154" s="141"/>
    </row>
    <row r="155">
      <c r="B155" s="111"/>
      <c r="C155" s="111"/>
      <c r="D155" s="141"/>
      <c r="E155" s="141"/>
      <c r="F155" s="141"/>
      <c r="G155" s="141"/>
    </row>
    <row r="156">
      <c r="B156" s="111"/>
      <c r="C156" s="111"/>
      <c r="D156" s="141"/>
      <c r="E156" s="141"/>
      <c r="F156" s="141"/>
      <c r="G156" s="141"/>
    </row>
    <row r="157">
      <c r="B157" s="111"/>
      <c r="C157" s="111"/>
      <c r="D157" s="141"/>
      <c r="E157" s="141"/>
      <c r="F157" s="141"/>
      <c r="G157" s="141"/>
    </row>
    <row r="158">
      <c r="B158" s="111"/>
      <c r="C158" s="111"/>
      <c r="D158" s="141"/>
      <c r="E158" s="141"/>
      <c r="F158" s="141"/>
      <c r="G158" s="141"/>
    </row>
    <row r="159">
      <c r="B159" s="111"/>
      <c r="C159" s="111"/>
      <c r="D159" s="141"/>
      <c r="E159" s="141"/>
      <c r="F159" s="141"/>
      <c r="G159" s="141"/>
    </row>
    <row r="160">
      <c r="B160" s="111"/>
      <c r="C160" s="111"/>
      <c r="D160" s="141"/>
      <c r="E160" s="141"/>
      <c r="F160" s="141"/>
      <c r="G160" s="141"/>
    </row>
    <row r="161">
      <c r="B161" s="111"/>
      <c r="C161" s="111"/>
      <c r="D161" s="141"/>
      <c r="E161" s="141"/>
      <c r="F161" s="141"/>
      <c r="G161" s="141"/>
    </row>
    <row r="162">
      <c r="B162" s="111"/>
      <c r="C162" s="111"/>
      <c r="D162" s="141"/>
      <c r="E162" s="141"/>
      <c r="F162" s="141"/>
      <c r="G162" s="141"/>
    </row>
    <row r="163">
      <c r="B163" s="111"/>
      <c r="C163" s="111"/>
      <c r="D163" s="141"/>
      <c r="E163" s="141"/>
      <c r="F163" s="141"/>
      <c r="G163" s="141"/>
    </row>
    <row r="164">
      <c r="B164" s="111"/>
      <c r="C164" s="111"/>
      <c r="D164" s="141"/>
      <c r="E164" s="141"/>
      <c r="F164" s="141"/>
      <c r="G164" s="141"/>
    </row>
    <row r="165">
      <c r="B165" s="111"/>
      <c r="C165" s="111"/>
      <c r="D165" s="141"/>
      <c r="E165" s="141"/>
      <c r="F165" s="141"/>
      <c r="G165" s="141"/>
    </row>
    <row r="166">
      <c r="B166" s="111"/>
      <c r="C166" s="111"/>
      <c r="D166" s="141"/>
      <c r="E166" s="141"/>
      <c r="F166" s="141"/>
      <c r="G166" s="141"/>
    </row>
    <row r="167">
      <c r="B167" s="111"/>
      <c r="C167" s="111"/>
      <c r="D167" s="141"/>
      <c r="E167" s="141"/>
      <c r="F167" s="141"/>
      <c r="G167" s="141"/>
    </row>
    <row r="168">
      <c r="B168" s="111"/>
      <c r="C168" s="111"/>
      <c r="D168" s="141"/>
      <c r="E168" s="141"/>
      <c r="F168" s="141"/>
      <c r="G168" s="141"/>
    </row>
    <row r="169">
      <c r="B169" s="111"/>
      <c r="C169" s="111"/>
      <c r="D169" s="141"/>
      <c r="E169" s="141"/>
      <c r="F169" s="141"/>
      <c r="G169" s="141"/>
    </row>
    <row r="170">
      <c r="B170" s="30"/>
      <c r="C170" s="30"/>
      <c r="D170" s="139"/>
      <c r="E170" s="139"/>
      <c r="F170" s="139"/>
      <c r="G170" s="139"/>
    </row>
    <row r="171">
      <c r="B171" s="30"/>
      <c r="C171" s="30"/>
      <c r="D171" s="139"/>
      <c r="E171" s="139"/>
      <c r="F171" s="139"/>
      <c r="G171" s="139"/>
    </row>
    <row r="172">
      <c r="B172" s="30"/>
      <c r="C172" s="30"/>
      <c r="D172" s="139"/>
      <c r="E172" s="139"/>
      <c r="F172" s="139"/>
      <c r="G172" s="139"/>
    </row>
    <row r="173">
      <c r="B173" s="30"/>
      <c r="C173" s="30"/>
      <c r="D173" s="139"/>
      <c r="E173" s="139"/>
      <c r="F173" s="139"/>
      <c r="G173" s="139"/>
    </row>
    <row r="174">
      <c r="B174" s="30"/>
      <c r="C174" s="30"/>
      <c r="D174" s="139"/>
      <c r="E174" s="139"/>
      <c r="F174" s="139"/>
      <c r="G174" s="139"/>
    </row>
    <row r="175">
      <c r="B175" s="30"/>
      <c r="C175" s="30"/>
      <c r="D175" s="139"/>
      <c r="E175" s="139"/>
      <c r="F175" s="139"/>
      <c r="G175" s="139"/>
    </row>
    <row r="176">
      <c r="B176" s="30"/>
      <c r="C176" s="30"/>
      <c r="D176" s="139"/>
      <c r="E176" s="139"/>
      <c r="F176" s="139"/>
      <c r="G176" s="139"/>
    </row>
    <row r="177">
      <c r="B177" s="30"/>
      <c r="C177" s="30"/>
      <c r="D177" s="139"/>
      <c r="E177" s="139"/>
      <c r="F177" s="139"/>
      <c r="G177" s="139"/>
    </row>
    <row r="178">
      <c r="B178" s="30"/>
      <c r="C178" s="30"/>
      <c r="D178" s="139"/>
      <c r="E178" s="139"/>
      <c r="F178" s="139"/>
      <c r="G178" s="139"/>
    </row>
    <row r="179">
      <c r="B179" s="30"/>
      <c r="C179" s="30"/>
      <c r="D179" s="139"/>
      <c r="E179" s="139"/>
      <c r="F179" s="139"/>
      <c r="G179" s="139"/>
    </row>
    <row r="180">
      <c r="B180" s="30"/>
      <c r="C180" s="30"/>
      <c r="D180" s="139"/>
      <c r="E180" s="139"/>
      <c r="F180" s="139"/>
      <c r="G180" s="139"/>
    </row>
    <row r="181">
      <c r="B181" s="30"/>
      <c r="C181" s="30"/>
      <c r="D181" s="139"/>
      <c r="E181" s="139"/>
      <c r="F181" s="139"/>
      <c r="G181" s="139"/>
    </row>
    <row r="182">
      <c r="B182" s="30"/>
      <c r="C182" s="30"/>
      <c r="D182" s="139"/>
      <c r="E182" s="139"/>
      <c r="F182" s="139"/>
      <c r="G182" s="139"/>
    </row>
    <row r="183">
      <c r="B183" s="30"/>
      <c r="C183" s="30"/>
      <c r="D183" s="139"/>
      <c r="E183" s="139"/>
      <c r="F183" s="139"/>
      <c r="G183" s="139"/>
    </row>
    <row r="184">
      <c r="B184" s="30"/>
      <c r="C184" s="30"/>
      <c r="D184" s="139"/>
      <c r="E184" s="139"/>
      <c r="F184" s="139"/>
      <c r="G184" s="139"/>
    </row>
    <row r="185">
      <c r="B185" s="30"/>
      <c r="C185" s="30"/>
      <c r="D185" s="139"/>
      <c r="E185" s="139"/>
      <c r="F185" s="139"/>
      <c r="G185" s="139"/>
    </row>
    <row r="186">
      <c r="B186" s="30"/>
      <c r="C186" s="30"/>
      <c r="D186" s="139"/>
      <c r="E186" s="139"/>
      <c r="F186" s="139"/>
      <c r="G186" s="139"/>
    </row>
    <row r="187">
      <c r="B187" s="30"/>
      <c r="C187" s="30"/>
      <c r="D187" s="139"/>
      <c r="E187" s="139"/>
      <c r="F187" s="139"/>
      <c r="G187" s="139"/>
    </row>
    <row r="188">
      <c r="B188" s="30"/>
      <c r="C188" s="30"/>
      <c r="D188" s="139"/>
      <c r="E188" s="139"/>
      <c r="F188" s="139"/>
      <c r="G188" s="139"/>
    </row>
    <row r="189">
      <c r="B189" s="30"/>
      <c r="C189" s="30"/>
      <c r="D189" s="139"/>
      <c r="E189" s="139"/>
      <c r="F189" s="139"/>
      <c r="G189" s="139"/>
    </row>
    <row r="190">
      <c r="B190" s="30"/>
      <c r="C190" s="30"/>
      <c r="D190" s="139"/>
      <c r="E190" s="139"/>
      <c r="F190" s="139"/>
      <c r="G190" s="139"/>
    </row>
    <row r="191">
      <c r="B191" s="30"/>
      <c r="C191" s="30"/>
      <c r="D191" s="139"/>
      <c r="E191" s="139"/>
      <c r="F191" s="139"/>
      <c r="G191" s="139"/>
    </row>
    <row r="192">
      <c r="B192" s="30"/>
      <c r="C192" s="30"/>
      <c r="D192" s="139"/>
      <c r="E192" s="139"/>
      <c r="F192" s="139"/>
      <c r="G192" s="139"/>
    </row>
    <row r="193">
      <c r="B193" s="30"/>
      <c r="C193" s="30"/>
      <c r="D193" s="139"/>
      <c r="E193" s="139"/>
      <c r="F193" s="139"/>
      <c r="G193" s="139"/>
    </row>
    <row r="194">
      <c r="B194" s="30"/>
      <c r="C194" s="30"/>
      <c r="D194" s="139"/>
      <c r="E194" s="139"/>
      <c r="F194" s="139"/>
      <c r="G194" s="139"/>
    </row>
    <row r="195">
      <c r="B195" s="30"/>
      <c r="C195" s="30"/>
      <c r="D195" s="139"/>
      <c r="E195" s="139"/>
      <c r="F195" s="139"/>
      <c r="G195" s="139"/>
    </row>
    <row r="196">
      <c r="B196" s="30"/>
      <c r="C196" s="30"/>
      <c r="D196" s="139"/>
      <c r="E196" s="139"/>
      <c r="F196" s="139"/>
      <c r="G196" s="139"/>
    </row>
    <row r="197">
      <c r="B197" s="30"/>
      <c r="C197" s="30"/>
      <c r="D197" s="139"/>
      <c r="E197" s="139"/>
      <c r="F197" s="139"/>
      <c r="G197" s="139"/>
    </row>
    <row r="198">
      <c r="B198" s="30"/>
      <c r="C198" s="30"/>
      <c r="D198" s="139"/>
      <c r="E198" s="139"/>
      <c r="F198" s="139"/>
      <c r="G198" s="139"/>
    </row>
    <row r="199">
      <c r="B199" s="30"/>
      <c r="C199" s="30"/>
      <c r="D199" s="139"/>
      <c r="E199" s="139"/>
      <c r="F199" s="139"/>
      <c r="G199" s="139"/>
    </row>
    <row r="200">
      <c r="B200" s="30"/>
      <c r="C200" s="30"/>
      <c r="D200" s="139"/>
      <c r="E200" s="139"/>
      <c r="F200" s="139"/>
      <c r="G200" s="139"/>
    </row>
    <row r="201">
      <c r="B201" s="30"/>
      <c r="C201" s="30"/>
      <c r="D201" s="139"/>
      <c r="E201" s="139"/>
      <c r="F201" s="139"/>
      <c r="G201" s="139"/>
    </row>
    <row r="202">
      <c r="B202" s="30"/>
      <c r="C202" s="30"/>
      <c r="D202" s="139"/>
      <c r="E202" s="139"/>
      <c r="F202" s="139"/>
      <c r="G202" s="139"/>
    </row>
    <row r="203">
      <c r="B203" s="30"/>
      <c r="C203" s="30"/>
      <c r="D203" s="139"/>
      <c r="E203" s="139"/>
      <c r="F203" s="139"/>
      <c r="G203" s="139"/>
    </row>
    <row r="204">
      <c r="B204" s="30"/>
      <c r="C204" s="30"/>
      <c r="D204" s="139"/>
      <c r="E204" s="139"/>
      <c r="F204" s="139"/>
      <c r="G204" s="139"/>
    </row>
    <row r="205">
      <c r="B205" s="30"/>
      <c r="C205" s="30"/>
      <c r="D205" s="139"/>
      <c r="E205" s="139"/>
      <c r="F205" s="139"/>
      <c r="G205" s="139"/>
    </row>
    <row r="206">
      <c r="B206" s="30"/>
      <c r="C206" s="30"/>
      <c r="D206" s="139"/>
      <c r="E206" s="139"/>
      <c r="F206" s="139"/>
      <c r="G206" s="139"/>
    </row>
    <row r="207">
      <c r="B207" s="30"/>
      <c r="C207" s="30"/>
      <c r="D207" s="139"/>
      <c r="E207" s="139"/>
      <c r="F207" s="139"/>
      <c r="G207" s="139"/>
    </row>
    <row r="208">
      <c r="D208" s="139"/>
      <c r="E208" s="139"/>
      <c r="F208" s="139"/>
      <c r="G208" s="139"/>
    </row>
    <row r="209">
      <c r="D209" s="139"/>
      <c r="E209" s="139"/>
      <c r="F209" s="139"/>
      <c r="G209" s="139"/>
    </row>
    <row r="210">
      <c r="D210" s="139"/>
      <c r="E210" s="139"/>
      <c r="F210" s="139"/>
      <c r="G210" s="139"/>
    </row>
    <row r="211">
      <c r="D211" s="139"/>
      <c r="E211" s="139"/>
      <c r="F211" s="139"/>
      <c r="G211" s="139"/>
    </row>
    <row r="212">
      <c r="D212" s="139"/>
      <c r="E212" s="139"/>
      <c r="F212" s="139"/>
      <c r="G212" s="139"/>
    </row>
    <row r="213">
      <c r="D213" s="139"/>
      <c r="E213" s="139"/>
      <c r="F213" s="139"/>
      <c r="G213" s="139"/>
    </row>
    <row r="214">
      <c r="D214" s="139"/>
      <c r="E214" s="139"/>
      <c r="F214" s="139"/>
      <c r="G214" s="139"/>
    </row>
    <row r="215">
      <c r="D215" s="139"/>
      <c r="E215" s="139"/>
      <c r="F215" s="139"/>
      <c r="G215" s="139"/>
    </row>
    <row r="216">
      <c r="D216" s="139"/>
      <c r="E216" s="139"/>
      <c r="F216" s="139"/>
      <c r="G216" s="139"/>
    </row>
    <row r="217">
      <c r="D217" s="139"/>
      <c r="E217" s="139"/>
      <c r="F217" s="139"/>
      <c r="G217" s="139"/>
    </row>
    <row r="218">
      <c r="D218" s="139"/>
      <c r="E218" s="139"/>
      <c r="F218" s="139"/>
      <c r="G218" s="139"/>
    </row>
    <row r="219">
      <c r="D219" s="139"/>
      <c r="E219" s="139"/>
      <c r="F219" s="139"/>
      <c r="G219" s="139"/>
    </row>
    <row r="220">
      <c r="D220" s="139"/>
      <c r="E220" s="139"/>
      <c r="F220" s="139"/>
      <c r="G220" s="139"/>
    </row>
    <row r="221">
      <c r="D221" s="139"/>
      <c r="E221" s="139"/>
      <c r="F221" s="139"/>
      <c r="G221" s="139"/>
    </row>
    <row r="222">
      <c r="D222" s="139"/>
      <c r="E222" s="139"/>
      <c r="F222" s="139"/>
      <c r="G222" s="139"/>
    </row>
    <row r="223">
      <c r="D223" s="139"/>
      <c r="E223" s="139"/>
      <c r="F223" s="139"/>
      <c r="G223" s="139"/>
    </row>
    <row r="224">
      <c r="D224" s="139"/>
      <c r="E224" s="139"/>
      <c r="F224" s="139"/>
      <c r="G224" s="139"/>
    </row>
    <row r="225">
      <c r="D225" s="139"/>
      <c r="E225" s="139"/>
      <c r="F225" s="139"/>
      <c r="G225" s="139"/>
    </row>
    <row r="226">
      <c r="D226" s="139"/>
      <c r="E226" s="139"/>
      <c r="F226" s="139"/>
      <c r="G226" s="139"/>
    </row>
    <row r="227">
      <c r="D227" s="139"/>
      <c r="E227" s="139"/>
      <c r="F227" s="139"/>
      <c r="G227" s="139"/>
    </row>
    <row r="228">
      <c r="D228" s="139"/>
      <c r="E228" s="139"/>
      <c r="F228" s="139"/>
      <c r="G228" s="139"/>
    </row>
    <row r="229">
      <c r="D229" s="139"/>
      <c r="E229" s="139"/>
      <c r="F229" s="139"/>
      <c r="G229" s="139"/>
    </row>
    <row r="230">
      <c r="D230" s="139"/>
      <c r="E230" s="139"/>
      <c r="F230" s="139"/>
      <c r="G230" s="139"/>
    </row>
    <row r="231">
      <c r="D231" s="139"/>
      <c r="E231" s="139"/>
      <c r="F231" s="139"/>
      <c r="G231" s="139"/>
    </row>
    <row r="232">
      <c r="D232" s="139"/>
      <c r="E232" s="139"/>
      <c r="F232" s="139"/>
      <c r="G232" s="139"/>
    </row>
    <row r="233">
      <c r="D233" s="139"/>
      <c r="E233" s="139"/>
      <c r="F233" s="139"/>
      <c r="G233" s="139"/>
    </row>
    <row r="234">
      <c r="D234" s="139"/>
      <c r="E234" s="139"/>
      <c r="F234" s="139"/>
      <c r="G234" s="139"/>
    </row>
    <row r="235">
      <c r="D235" s="139"/>
      <c r="E235" s="139"/>
      <c r="F235" s="139"/>
      <c r="G235" s="139"/>
    </row>
    <row r="236">
      <c r="D236" s="139"/>
      <c r="E236" s="139"/>
      <c r="F236" s="139"/>
      <c r="G236" s="139"/>
    </row>
    <row r="237">
      <c r="D237" s="139"/>
      <c r="E237" s="139"/>
      <c r="F237" s="139"/>
      <c r="G237" s="139"/>
    </row>
    <row r="238">
      <c r="D238" s="139"/>
      <c r="E238" s="139"/>
      <c r="F238" s="139"/>
      <c r="G238" s="139"/>
    </row>
    <row r="239">
      <c r="D239" s="139"/>
      <c r="E239" s="139"/>
      <c r="F239" s="139"/>
      <c r="G239" s="139"/>
    </row>
    <row r="240">
      <c r="D240" s="139"/>
      <c r="E240" s="139"/>
      <c r="F240" s="139"/>
      <c r="G240" s="139"/>
    </row>
    <row r="241">
      <c r="D241" s="139"/>
      <c r="E241" s="139"/>
      <c r="F241" s="139"/>
      <c r="G241" s="139"/>
    </row>
    <row r="242">
      <c r="D242" s="139"/>
      <c r="E242" s="139"/>
      <c r="F242" s="139"/>
      <c r="G242" s="139"/>
    </row>
    <row r="243">
      <c r="D243" s="139"/>
      <c r="E243" s="139"/>
      <c r="F243" s="139"/>
      <c r="G243" s="139"/>
    </row>
    <row r="244">
      <c r="D244" s="139"/>
      <c r="E244" s="139"/>
      <c r="F244" s="139"/>
      <c r="G244" s="139"/>
    </row>
    <row r="245">
      <c r="D245" s="139"/>
      <c r="E245" s="139"/>
      <c r="F245" s="139"/>
      <c r="G245" s="139"/>
    </row>
    <row r="246">
      <c r="D246" s="139"/>
      <c r="E246" s="139"/>
      <c r="F246" s="139"/>
      <c r="G246" s="139"/>
    </row>
    <row r="247">
      <c r="D247" s="139"/>
      <c r="E247" s="139"/>
      <c r="F247" s="139"/>
      <c r="G247" s="139"/>
    </row>
    <row r="248">
      <c r="D248" s="139"/>
      <c r="E248" s="139"/>
      <c r="F248" s="139"/>
      <c r="G248" s="139"/>
    </row>
    <row r="249">
      <c r="D249" s="139"/>
      <c r="E249" s="139"/>
      <c r="F249" s="139"/>
      <c r="G249" s="139"/>
    </row>
    <row r="250">
      <c r="D250" s="139"/>
      <c r="E250" s="139"/>
      <c r="F250" s="139"/>
      <c r="G250" s="139"/>
    </row>
    <row r="251">
      <c r="D251" s="139"/>
      <c r="E251" s="139"/>
      <c r="F251" s="139"/>
      <c r="G251" s="139"/>
    </row>
    <row r="252">
      <c r="D252" s="139"/>
      <c r="E252" s="139"/>
      <c r="F252" s="139"/>
      <c r="G252" s="139"/>
    </row>
    <row r="253">
      <c r="D253" s="139"/>
      <c r="E253" s="139"/>
      <c r="F253" s="139"/>
      <c r="G253" s="139"/>
    </row>
    <row r="254">
      <c r="D254" s="139"/>
      <c r="E254" s="139"/>
      <c r="F254" s="139"/>
      <c r="G254" s="139"/>
    </row>
    <row r="255">
      <c r="D255" s="139"/>
      <c r="E255" s="139"/>
      <c r="F255" s="139"/>
      <c r="G255" s="139"/>
    </row>
    <row r="256">
      <c r="D256" s="139"/>
      <c r="E256" s="139"/>
      <c r="F256" s="139"/>
      <c r="G256" s="139"/>
    </row>
    <row r="257">
      <c r="D257" s="139"/>
      <c r="E257" s="139"/>
      <c r="F257" s="139"/>
      <c r="G257" s="139"/>
    </row>
    <row r="258">
      <c r="D258" s="139"/>
      <c r="E258" s="139"/>
      <c r="F258" s="139"/>
      <c r="G258" s="139"/>
    </row>
    <row r="259">
      <c r="D259" s="139"/>
      <c r="E259" s="139"/>
      <c r="F259" s="139"/>
      <c r="G259" s="139"/>
    </row>
    <row r="260">
      <c r="D260" s="139"/>
      <c r="E260" s="139"/>
      <c r="F260" s="139"/>
      <c r="G260" s="139"/>
    </row>
    <row r="261">
      <c r="D261" s="139"/>
      <c r="E261" s="139"/>
      <c r="F261" s="139"/>
      <c r="G261" s="139"/>
    </row>
    <row r="262">
      <c r="D262" s="139"/>
      <c r="E262" s="139"/>
      <c r="F262" s="139"/>
      <c r="G262" s="139"/>
    </row>
    <row r="263">
      <c r="D263" s="139"/>
      <c r="E263" s="139"/>
      <c r="F263" s="139"/>
      <c r="G263" s="139"/>
    </row>
    <row r="264">
      <c r="D264" s="139"/>
      <c r="E264" s="139"/>
      <c r="F264" s="139"/>
      <c r="G264" s="139"/>
    </row>
    <row r="265">
      <c r="D265" s="139"/>
      <c r="E265" s="139"/>
      <c r="F265" s="139"/>
      <c r="G265" s="139"/>
    </row>
    <row r="266">
      <c r="D266" s="139"/>
      <c r="E266" s="139"/>
      <c r="F266" s="139"/>
      <c r="G266" s="139"/>
    </row>
    <row r="267">
      <c r="D267" s="139"/>
      <c r="E267" s="139"/>
      <c r="F267" s="139"/>
      <c r="G267" s="139"/>
    </row>
    <row r="268">
      <c r="D268" s="139"/>
      <c r="E268" s="139"/>
      <c r="F268" s="139"/>
      <c r="G268" s="139"/>
    </row>
    <row r="269">
      <c r="D269" s="139"/>
      <c r="E269" s="139"/>
      <c r="F269" s="139"/>
      <c r="G269" s="139"/>
    </row>
    <row r="270">
      <c r="D270" s="139"/>
      <c r="E270" s="139"/>
      <c r="F270" s="139"/>
      <c r="G270" s="139"/>
    </row>
    <row r="271">
      <c r="D271" s="139"/>
      <c r="E271" s="139"/>
      <c r="F271" s="139"/>
      <c r="G271" s="139"/>
    </row>
    <row r="272">
      <c r="D272" s="139"/>
      <c r="E272" s="139"/>
      <c r="F272" s="139"/>
      <c r="G272" s="139"/>
    </row>
    <row r="273">
      <c r="D273" s="139"/>
      <c r="E273" s="139"/>
      <c r="F273" s="139"/>
      <c r="G273" s="139"/>
    </row>
    <row r="274">
      <c r="D274" s="139"/>
      <c r="E274" s="139"/>
      <c r="F274" s="139"/>
      <c r="G274" s="139"/>
    </row>
    <row r="275">
      <c r="D275" s="139"/>
      <c r="E275" s="139"/>
      <c r="F275" s="139"/>
      <c r="G275" s="139"/>
    </row>
    <row r="276">
      <c r="D276" s="139"/>
      <c r="E276" s="139"/>
      <c r="F276" s="139"/>
      <c r="G276" s="139"/>
    </row>
    <row r="277">
      <c r="D277" s="139"/>
      <c r="E277" s="139"/>
      <c r="F277" s="139"/>
      <c r="G277" s="139"/>
    </row>
    <row r="278">
      <c r="D278" s="139"/>
      <c r="E278" s="139"/>
      <c r="F278" s="139"/>
      <c r="G278" s="139"/>
    </row>
    <row r="279">
      <c r="D279" s="139"/>
      <c r="E279" s="139"/>
      <c r="F279" s="139"/>
      <c r="G279" s="139"/>
    </row>
    <row r="280">
      <c r="D280" s="139"/>
      <c r="E280" s="139"/>
      <c r="F280" s="139"/>
      <c r="G280" s="139"/>
    </row>
    <row r="281">
      <c r="D281" s="139"/>
      <c r="E281" s="139"/>
      <c r="F281" s="139"/>
      <c r="G281" s="139"/>
    </row>
    <row r="282">
      <c r="D282" s="139"/>
      <c r="E282" s="139"/>
      <c r="F282" s="139"/>
      <c r="G282" s="139"/>
    </row>
    <row r="283">
      <c r="D283" s="139"/>
      <c r="E283" s="139"/>
      <c r="F283" s="139"/>
      <c r="G283" s="139"/>
    </row>
    <row r="284">
      <c r="D284" s="139"/>
      <c r="E284" s="139"/>
      <c r="F284" s="139"/>
      <c r="G284" s="139"/>
    </row>
    <row r="285">
      <c r="D285" s="139"/>
      <c r="E285" s="139"/>
      <c r="F285" s="139"/>
      <c r="G285" s="139"/>
    </row>
    <row r="286">
      <c r="D286" s="139"/>
      <c r="E286" s="139"/>
      <c r="F286" s="139"/>
      <c r="G286" s="139"/>
    </row>
    <row r="287">
      <c r="D287" s="139"/>
      <c r="E287" s="139"/>
      <c r="F287" s="139"/>
      <c r="G287" s="139"/>
    </row>
    <row r="288">
      <c r="D288" s="139"/>
      <c r="E288" s="139"/>
      <c r="F288" s="139"/>
      <c r="G288" s="139"/>
    </row>
    <row r="289">
      <c r="D289" s="139"/>
      <c r="E289" s="139"/>
      <c r="F289" s="139"/>
      <c r="G289" s="139"/>
    </row>
    <row r="290">
      <c r="D290" s="139"/>
      <c r="E290" s="139"/>
      <c r="F290" s="139"/>
      <c r="G290" s="139"/>
    </row>
    <row r="291">
      <c r="D291" s="139"/>
      <c r="E291" s="139"/>
      <c r="F291" s="139"/>
      <c r="G291" s="139"/>
    </row>
    <row r="292">
      <c r="D292" s="139"/>
      <c r="E292" s="139"/>
      <c r="F292" s="139"/>
      <c r="G292" s="139"/>
    </row>
    <row r="293">
      <c r="D293" s="139"/>
      <c r="E293" s="139"/>
      <c r="F293" s="139"/>
      <c r="G293" s="139"/>
    </row>
    <row r="294">
      <c r="D294" s="139"/>
      <c r="E294" s="139"/>
      <c r="F294" s="139"/>
      <c r="G294" s="139"/>
    </row>
    <row r="295">
      <c r="D295" s="139"/>
      <c r="E295" s="139"/>
      <c r="F295" s="139"/>
      <c r="G295" s="139"/>
    </row>
    <row r="296">
      <c r="D296" s="139"/>
      <c r="E296" s="139"/>
      <c r="F296" s="139"/>
      <c r="G296" s="139"/>
    </row>
    <row r="297">
      <c r="D297" s="139"/>
      <c r="E297" s="139"/>
      <c r="F297" s="139"/>
      <c r="G297" s="139"/>
    </row>
    <row r="298">
      <c r="D298" s="139"/>
      <c r="E298" s="139"/>
      <c r="F298" s="139"/>
      <c r="G298" s="139"/>
    </row>
    <row r="299">
      <c r="D299" s="139"/>
      <c r="E299" s="139"/>
      <c r="F299" s="139"/>
      <c r="G299" s="139"/>
    </row>
    <row r="300">
      <c r="D300" s="139"/>
      <c r="E300" s="139"/>
      <c r="F300" s="139"/>
      <c r="G300" s="139"/>
    </row>
    <row r="301">
      <c r="D301" s="139"/>
      <c r="E301" s="139"/>
      <c r="F301" s="139"/>
      <c r="G301" s="139"/>
    </row>
    <row r="302">
      <c r="D302" s="139"/>
      <c r="E302" s="139"/>
      <c r="F302" s="139"/>
      <c r="G302" s="139"/>
    </row>
    <row r="303">
      <c r="D303" s="139"/>
      <c r="E303" s="139"/>
      <c r="F303" s="139"/>
      <c r="G303" s="139"/>
    </row>
    <row r="304">
      <c r="D304" s="139"/>
      <c r="E304" s="139"/>
      <c r="F304" s="139"/>
      <c r="G304" s="139"/>
    </row>
    <row r="305">
      <c r="D305" s="139"/>
      <c r="E305" s="139"/>
      <c r="F305" s="139"/>
      <c r="G305" s="139"/>
    </row>
    <row r="306">
      <c r="D306" s="139"/>
      <c r="E306" s="139"/>
      <c r="F306" s="139"/>
      <c r="G306" s="139"/>
    </row>
    <row r="307">
      <c r="D307" s="139"/>
      <c r="E307" s="139"/>
      <c r="F307" s="139"/>
      <c r="G307" s="139"/>
    </row>
    <row r="308">
      <c r="D308" s="139"/>
      <c r="E308" s="139"/>
      <c r="F308" s="139"/>
      <c r="G308" s="139"/>
    </row>
    <row r="309">
      <c r="D309" s="139"/>
      <c r="E309" s="139"/>
      <c r="F309" s="139"/>
      <c r="G309" s="139"/>
    </row>
    <row r="310">
      <c r="D310" s="139"/>
      <c r="E310" s="139"/>
      <c r="F310" s="139"/>
      <c r="G310" s="139"/>
    </row>
    <row r="311">
      <c r="D311" s="139"/>
      <c r="E311" s="139"/>
      <c r="F311" s="139"/>
      <c r="G311" s="139"/>
    </row>
    <row r="312">
      <c r="D312" s="139"/>
      <c r="E312" s="139"/>
      <c r="F312" s="139"/>
      <c r="G312" s="139"/>
    </row>
    <row r="313">
      <c r="D313" s="139"/>
      <c r="E313" s="139"/>
      <c r="F313" s="139"/>
      <c r="G313" s="139"/>
    </row>
    <row r="314">
      <c r="D314" s="139"/>
      <c r="E314" s="139"/>
      <c r="F314" s="139"/>
      <c r="G314" s="139"/>
    </row>
    <row r="315">
      <c r="D315" s="139"/>
      <c r="E315" s="139"/>
      <c r="F315" s="139"/>
      <c r="G315" s="139"/>
    </row>
    <row r="316">
      <c r="D316" s="139"/>
      <c r="E316" s="139"/>
      <c r="F316" s="139"/>
      <c r="G316" s="139"/>
    </row>
    <row r="317">
      <c r="D317" s="139"/>
      <c r="E317" s="139"/>
      <c r="F317" s="139"/>
      <c r="G317" s="139"/>
    </row>
    <row r="318">
      <c r="D318" s="139"/>
      <c r="E318" s="139"/>
      <c r="F318" s="139"/>
      <c r="G318" s="139"/>
    </row>
    <row r="319">
      <c r="D319" s="139"/>
      <c r="E319" s="139"/>
      <c r="F319" s="139"/>
      <c r="G319" s="139"/>
    </row>
    <row r="320">
      <c r="D320" s="139"/>
      <c r="E320" s="139"/>
      <c r="F320" s="139"/>
      <c r="G320" s="139"/>
    </row>
    <row r="321">
      <c r="D321" s="139"/>
      <c r="E321" s="139"/>
      <c r="F321" s="139"/>
      <c r="G321" s="139"/>
    </row>
    <row r="322">
      <c r="D322" s="139"/>
      <c r="E322" s="139"/>
      <c r="F322" s="139"/>
      <c r="G322" s="139"/>
    </row>
    <row r="323">
      <c r="D323" s="139"/>
      <c r="E323" s="139"/>
      <c r="F323" s="139"/>
      <c r="G323" s="139"/>
    </row>
    <row r="324">
      <c r="D324" s="139"/>
      <c r="E324" s="139"/>
      <c r="F324" s="139"/>
      <c r="G324" s="139"/>
    </row>
    <row r="325">
      <c r="D325" s="139"/>
      <c r="E325" s="139"/>
      <c r="F325" s="139"/>
      <c r="G325" s="139"/>
    </row>
    <row r="326">
      <c r="D326" s="139"/>
      <c r="E326" s="139"/>
      <c r="F326" s="139"/>
      <c r="G326" s="139"/>
    </row>
    <row r="327">
      <c r="D327" s="139"/>
      <c r="E327" s="139"/>
      <c r="F327" s="139"/>
      <c r="G327" s="139"/>
    </row>
    <row r="328">
      <c r="D328" s="139"/>
      <c r="E328" s="139"/>
      <c r="F328" s="139"/>
      <c r="G328" s="139"/>
    </row>
    <row r="329">
      <c r="D329" s="139"/>
      <c r="E329" s="139"/>
      <c r="F329" s="139"/>
      <c r="G329" s="139"/>
    </row>
    <row r="330">
      <c r="D330" s="139"/>
      <c r="E330" s="139"/>
      <c r="F330" s="139"/>
      <c r="G330" s="139"/>
    </row>
    <row r="331">
      <c r="D331" s="139"/>
      <c r="E331" s="139"/>
      <c r="F331" s="139"/>
      <c r="G331" s="139"/>
    </row>
    <row r="332">
      <c r="D332" s="139"/>
      <c r="E332" s="139"/>
      <c r="F332" s="139"/>
      <c r="G332" s="139"/>
    </row>
    <row r="333">
      <c r="D333" s="139"/>
      <c r="E333" s="139"/>
      <c r="F333" s="139"/>
      <c r="G333" s="139"/>
    </row>
    <row r="334">
      <c r="D334" s="139"/>
      <c r="E334" s="139"/>
      <c r="F334" s="139"/>
      <c r="G334" s="139"/>
    </row>
    <row r="335">
      <c r="D335" s="139"/>
      <c r="E335" s="139"/>
      <c r="F335" s="139"/>
      <c r="G335" s="139"/>
    </row>
    <row r="336">
      <c r="D336" s="139"/>
      <c r="E336" s="139"/>
      <c r="F336" s="139"/>
      <c r="G336" s="139"/>
    </row>
    <row r="337">
      <c r="D337" s="139"/>
      <c r="E337" s="139"/>
      <c r="F337" s="139"/>
      <c r="G337" s="139"/>
    </row>
    <row r="338">
      <c r="D338" s="139"/>
      <c r="E338" s="139"/>
      <c r="F338" s="139"/>
      <c r="G338" s="139"/>
    </row>
    <row r="339">
      <c r="D339" s="139"/>
      <c r="E339" s="139"/>
      <c r="F339" s="139"/>
      <c r="G339" s="139"/>
    </row>
    <row r="340">
      <c r="D340" s="139"/>
      <c r="E340" s="139"/>
      <c r="F340" s="139"/>
      <c r="G340" s="139"/>
    </row>
    <row r="341">
      <c r="D341" s="139"/>
      <c r="E341" s="139"/>
      <c r="F341" s="139"/>
      <c r="G341" s="139"/>
    </row>
    <row r="342">
      <c r="D342" s="139"/>
      <c r="E342" s="139"/>
      <c r="F342" s="139"/>
      <c r="G342" s="139"/>
    </row>
    <row r="343">
      <c r="D343" s="139"/>
      <c r="E343" s="139"/>
      <c r="F343" s="139"/>
      <c r="G343" s="139"/>
    </row>
    <row r="344">
      <c r="D344" s="139"/>
      <c r="E344" s="139"/>
      <c r="F344" s="139"/>
      <c r="G344" s="139"/>
    </row>
    <row r="345">
      <c r="D345" s="139"/>
      <c r="E345" s="139"/>
      <c r="F345" s="139"/>
      <c r="G345" s="139"/>
    </row>
    <row r="346">
      <c r="D346" s="139"/>
      <c r="E346" s="139"/>
      <c r="F346" s="139"/>
      <c r="G346" s="139"/>
    </row>
    <row r="347">
      <c r="D347" s="139"/>
      <c r="E347" s="139"/>
      <c r="F347" s="139"/>
      <c r="G347" s="139"/>
    </row>
    <row r="348">
      <c r="D348" s="139"/>
      <c r="E348" s="139"/>
      <c r="F348" s="139"/>
      <c r="G348" s="139"/>
    </row>
    <row r="349">
      <c r="D349" s="139"/>
      <c r="E349" s="139"/>
      <c r="F349" s="139"/>
      <c r="G349" s="139"/>
    </row>
    <row r="350">
      <c r="D350" s="139"/>
      <c r="E350" s="139"/>
      <c r="F350" s="139"/>
      <c r="G350" s="139"/>
    </row>
    <row r="351">
      <c r="D351" s="139"/>
      <c r="E351" s="139"/>
      <c r="F351" s="139"/>
      <c r="G351" s="139"/>
    </row>
    <row r="352">
      <c r="D352" s="139"/>
      <c r="E352" s="139"/>
      <c r="F352" s="139"/>
      <c r="G352" s="139"/>
    </row>
    <row r="353">
      <c r="D353" s="139"/>
      <c r="E353" s="139"/>
      <c r="F353" s="139"/>
      <c r="G353" s="139"/>
    </row>
    <row r="354">
      <c r="D354" s="139"/>
      <c r="E354" s="139"/>
      <c r="F354" s="139"/>
      <c r="G354" s="139"/>
    </row>
    <row r="355">
      <c r="D355" s="139"/>
      <c r="E355" s="139"/>
      <c r="F355" s="139"/>
      <c r="G355" s="139"/>
    </row>
    <row r="356">
      <c r="D356" s="139"/>
      <c r="E356" s="139"/>
      <c r="F356" s="139"/>
      <c r="G356" s="139"/>
    </row>
    <row r="357">
      <c r="D357" s="139"/>
      <c r="E357" s="139"/>
      <c r="F357" s="139"/>
      <c r="G357" s="139"/>
    </row>
    <row r="358">
      <c r="D358" s="139"/>
      <c r="E358" s="139"/>
      <c r="F358" s="139"/>
      <c r="G358" s="139"/>
    </row>
    <row r="359">
      <c r="D359" s="139"/>
      <c r="E359" s="139"/>
      <c r="F359" s="139"/>
      <c r="G359" s="139"/>
    </row>
    <row r="360">
      <c r="D360" s="139"/>
      <c r="E360" s="139"/>
      <c r="F360" s="139"/>
      <c r="G360" s="139"/>
    </row>
    <row r="361">
      <c r="D361" s="139"/>
      <c r="E361" s="139"/>
      <c r="F361" s="139"/>
      <c r="G361" s="139"/>
    </row>
    <row r="362">
      <c r="D362" s="139"/>
      <c r="E362" s="139"/>
      <c r="F362" s="139"/>
      <c r="G362" s="139"/>
    </row>
    <row r="363">
      <c r="D363" s="139"/>
      <c r="E363" s="139"/>
      <c r="F363" s="139"/>
      <c r="G363" s="139"/>
    </row>
    <row r="364">
      <c r="D364" s="139"/>
      <c r="E364" s="139"/>
      <c r="F364" s="139"/>
      <c r="G364" s="139"/>
    </row>
    <row r="365">
      <c r="D365" s="139"/>
      <c r="E365" s="139"/>
      <c r="F365" s="139"/>
      <c r="G365" s="139"/>
    </row>
    <row r="366">
      <c r="D366" s="139"/>
      <c r="E366" s="139"/>
      <c r="F366" s="139"/>
      <c r="G366" s="139"/>
    </row>
    <row r="367">
      <c r="D367" s="139"/>
      <c r="E367" s="139"/>
      <c r="F367" s="139"/>
      <c r="G367" s="139"/>
    </row>
    <row r="368">
      <c r="D368" s="139"/>
      <c r="E368" s="139"/>
      <c r="F368" s="139"/>
      <c r="G368" s="139"/>
    </row>
    <row r="369">
      <c r="D369" s="139"/>
      <c r="E369" s="139"/>
      <c r="F369" s="139"/>
      <c r="G369" s="139"/>
    </row>
    <row r="370">
      <c r="D370" s="139"/>
      <c r="E370" s="139"/>
      <c r="F370" s="139"/>
      <c r="G370" s="139"/>
    </row>
    <row r="371">
      <c r="D371" s="139"/>
      <c r="E371" s="139"/>
      <c r="F371" s="139"/>
      <c r="G371" s="139"/>
    </row>
    <row r="372">
      <c r="D372" s="139"/>
      <c r="E372" s="139"/>
      <c r="F372" s="139"/>
      <c r="G372" s="139"/>
    </row>
    <row r="373">
      <c r="D373" s="139"/>
      <c r="E373" s="139"/>
      <c r="F373" s="139"/>
      <c r="G373" s="139"/>
    </row>
    <row r="374">
      <c r="D374" s="139"/>
      <c r="E374" s="139"/>
      <c r="F374" s="139"/>
      <c r="G374" s="139"/>
    </row>
    <row r="375">
      <c r="D375" s="139"/>
      <c r="E375" s="139"/>
      <c r="F375" s="139"/>
      <c r="G375" s="139"/>
    </row>
    <row r="376">
      <c r="D376" s="139"/>
      <c r="E376" s="139"/>
      <c r="F376" s="139"/>
      <c r="G376" s="139"/>
    </row>
    <row r="377">
      <c r="D377" s="139"/>
      <c r="E377" s="139"/>
      <c r="F377" s="139"/>
      <c r="G377" s="139"/>
    </row>
    <row r="378">
      <c r="D378" s="139"/>
      <c r="E378" s="139"/>
      <c r="F378" s="139"/>
      <c r="G378" s="139"/>
    </row>
    <row r="379">
      <c r="D379" s="139"/>
      <c r="E379" s="139"/>
      <c r="F379" s="139"/>
      <c r="G379" s="139"/>
    </row>
    <row r="380">
      <c r="D380" s="139"/>
      <c r="E380" s="139"/>
      <c r="F380" s="139"/>
      <c r="G380" s="139"/>
    </row>
    <row r="381">
      <c r="D381" s="139"/>
      <c r="E381" s="139"/>
      <c r="F381" s="139"/>
      <c r="G381" s="139"/>
    </row>
    <row r="382">
      <c r="D382" s="139"/>
      <c r="E382" s="139"/>
      <c r="F382" s="139"/>
      <c r="G382" s="139"/>
    </row>
    <row r="383">
      <c r="D383" s="139"/>
      <c r="E383" s="139"/>
      <c r="F383" s="139"/>
      <c r="G383" s="139"/>
    </row>
    <row r="384">
      <c r="D384" s="139"/>
      <c r="E384" s="139"/>
      <c r="F384" s="139"/>
      <c r="G384" s="139"/>
    </row>
    <row r="385">
      <c r="D385" s="139"/>
      <c r="E385" s="139"/>
      <c r="F385" s="139"/>
      <c r="G385" s="139"/>
    </row>
    <row r="386">
      <c r="D386" s="139"/>
      <c r="E386" s="139"/>
      <c r="F386" s="139"/>
      <c r="G386" s="139"/>
    </row>
    <row r="387">
      <c r="D387" s="139"/>
      <c r="E387" s="139"/>
      <c r="F387" s="139"/>
      <c r="G387" s="139"/>
    </row>
    <row r="388">
      <c r="D388" s="139"/>
      <c r="E388" s="139"/>
      <c r="F388" s="139"/>
      <c r="G388" s="139"/>
    </row>
    <row r="389">
      <c r="D389" s="139"/>
      <c r="E389" s="139"/>
      <c r="F389" s="139"/>
      <c r="G389" s="139"/>
    </row>
    <row r="390">
      <c r="D390" s="139"/>
      <c r="E390" s="139"/>
      <c r="F390" s="139"/>
      <c r="G390" s="139"/>
    </row>
    <row r="391">
      <c r="D391" s="139"/>
      <c r="E391" s="139"/>
      <c r="F391" s="139"/>
      <c r="G391" s="139"/>
    </row>
    <row r="392">
      <c r="D392" s="139"/>
      <c r="E392" s="139"/>
      <c r="F392" s="139"/>
      <c r="G392" s="139"/>
    </row>
    <row r="393">
      <c r="D393" s="139"/>
      <c r="E393" s="139"/>
      <c r="F393" s="139"/>
      <c r="G393" s="139"/>
    </row>
    <row r="394">
      <c r="D394" s="139"/>
      <c r="E394" s="139"/>
      <c r="F394" s="139"/>
      <c r="G394" s="139"/>
    </row>
    <row r="395">
      <c r="D395" s="139"/>
      <c r="E395" s="139"/>
      <c r="F395" s="139"/>
      <c r="G395" s="139"/>
    </row>
    <row r="396">
      <c r="D396" s="139"/>
      <c r="E396" s="139"/>
      <c r="F396" s="139"/>
      <c r="G396" s="139"/>
    </row>
    <row r="397">
      <c r="D397" s="139"/>
      <c r="E397" s="139"/>
      <c r="F397" s="139"/>
      <c r="G397" s="139"/>
    </row>
    <row r="398">
      <c r="D398" s="139"/>
      <c r="E398" s="139"/>
      <c r="F398" s="139"/>
      <c r="G398" s="139"/>
    </row>
    <row r="399">
      <c r="D399" s="139"/>
      <c r="E399" s="139"/>
      <c r="F399" s="139"/>
      <c r="G399" s="139"/>
    </row>
    <row r="400">
      <c r="D400" s="139"/>
      <c r="E400" s="139"/>
      <c r="F400" s="139"/>
      <c r="G400" s="139"/>
    </row>
    <row r="401">
      <c r="D401" s="139"/>
      <c r="E401" s="139"/>
      <c r="F401" s="139"/>
      <c r="G401" s="139"/>
    </row>
    <row r="402">
      <c r="D402" s="139"/>
      <c r="E402" s="139"/>
      <c r="F402" s="139"/>
      <c r="G402" s="139"/>
    </row>
    <row r="403">
      <c r="D403" s="139"/>
      <c r="E403" s="139"/>
      <c r="F403" s="139"/>
      <c r="G403" s="139"/>
    </row>
    <row r="404">
      <c r="D404" s="139"/>
      <c r="E404" s="139"/>
      <c r="F404" s="139"/>
      <c r="G404" s="139"/>
    </row>
    <row r="405">
      <c r="D405" s="139"/>
      <c r="E405" s="139"/>
      <c r="F405" s="139"/>
      <c r="G405" s="139"/>
    </row>
    <row r="406">
      <c r="D406" s="139"/>
      <c r="E406" s="139"/>
      <c r="F406" s="139"/>
      <c r="G406" s="139"/>
    </row>
    <row r="407">
      <c r="D407" s="139"/>
      <c r="E407" s="139"/>
      <c r="F407" s="139"/>
      <c r="G407" s="139"/>
    </row>
    <row r="408">
      <c r="D408" s="139"/>
      <c r="E408" s="139"/>
      <c r="F408" s="139"/>
      <c r="G408" s="139"/>
    </row>
    <row r="409">
      <c r="D409" s="139"/>
      <c r="E409" s="139"/>
      <c r="F409" s="139"/>
      <c r="G409" s="139"/>
    </row>
    <row r="410">
      <c r="D410" s="139"/>
      <c r="E410" s="139"/>
      <c r="F410" s="139"/>
      <c r="G410" s="139"/>
    </row>
    <row r="411">
      <c r="D411" s="139"/>
      <c r="E411" s="139"/>
      <c r="F411" s="139"/>
      <c r="G411" s="139"/>
    </row>
    <row r="412">
      <c r="D412" s="139"/>
      <c r="E412" s="139"/>
      <c r="F412" s="139"/>
      <c r="G412" s="139"/>
    </row>
    <row r="413">
      <c r="D413" s="139"/>
      <c r="E413" s="139"/>
      <c r="F413" s="139"/>
      <c r="G413" s="139"/>
    </row>
    <row r="414">
      <c r="D414" s="139"/>
      <c r="E414" s="139"/>
      <c r="F414" s="139"/>
      <c r="G414" s="139"/>
    </row>
    <row r="415">
      <c r="D415" s="139"/>
      <c r="E415" s="139"/>
      <c r="F415" s="139"/>
      <c r="G415" s="139"/>
    </row>
    <row r="416">
      <c r="D416" s="139"/>
      <c r="E416" s="139"/>
      <c r="F416" s="139"/>
      <c r="G416" s="139"/>
    </row>
    <row r="417">
      <c r="D417" s="139"/>
      <c r="E417" s="139"/>
      <c r="F417" s="139"/>
      <c r="G417" s="139"/>
    </row>
    <row r="418">
      <c r="D418" s="139"/>
      <c r="E418" s="139"/>
      <c r="F418" s="139"/>
      <c r="G418" s="139"/>
    </row>
    <row r="419">
      <c r="D419" s="139"/>
      <c r="E419" s="139"/>
      <c r="F419" s="139"/>
      <c r="G419" s="139"/>
    </row>
    <row r="420">
      <c r="D420" s="139"/>
      <c r="E420" s="139"/>
      <c r="F420" s="139"/>
      <c r="G420" s="139"/>
    </row>
    <row r="421">
      <c r="D421" s="139"/>
      <c r="E421" s="139"/>
      <c r="F421" s="139"/>
      <c r="G421" s="139"/>
    </row>
    <row r="422">
      <c r="D422" s="139"/>
      <c r="E422" s="139"/>
      <c r="F422" s="139"/>
      <c r="G422" s="139"/>
    </row>
    <row r="423">
      <c r="D423" s="139"/>
      <c r="E423" s="139"/>
      <c r="F423" s="139"/>
      <c r="G423" s="139"/>
    </row>
    <row r="424">
      <c r="D424" s="139"/>
      <c r="E424" s="139"/>
      <c r="F424" s="139"/>
      <c r="G424" s="139"/>
    </row>
    <row r="425">
      <c r="D425" s="139"/>
      <c r="E425" s="139"/>
      <c r="F425" s="139"/>
      <c r="G425" s="139"/>
    </row>
    <row r="426">
      <c r="D426" s="139"/>
      <c r="E426" s="139"/>
      <c r="F426" s="139"/>
      <c r="G426" s="139"/>
    </row>
    <row r="427">
      <c r="D427" s="139"/>
      <c r="E427" s="139"/>
      <c r="F427" s="139"/>
      <c r="G427" s="139"/>
    </row>
    <row r="428">
      <c r="D428" s="139"/>
      <c r="E428" s="139"/>
      <c r="F428" s="139"/>
      <c r="G428" s="139"/>
    </row>
    <row r="429">
      <c r="D429" s="139"/>
      <c r="E429" s="139"/>
      <c r="F429" s="139"/>
      <c r="G429" s="139"/>
    </row>
    <row r="430">
      <c r="D430" s="139"/>
      <c r="E430" s="139"/>
      <c r="F430" s="139"/>
      <c r="G430" s="139"/>
    </row>
    <row r="431">
      <c r="D431" s="139"/>
      <c r="E431" s="139"/>
      <c r="F431" s="139"/>
      <c r="G431" s="139"/>
    </row>
    <row r="432">
      <c r="D432" s="139"/>
      <c r="E432" s="139"/>
      <c r="F432" s="139"/>
      <c r="G432" s="139"/>
    </row>
    <row r="433">
      <c r="D433" s="139"/>
      <c r="E433" s="139"/>
      <c r="F433" s="139"/>
      <c r="G433" s="139"/>
    </row>
    <row r="434">
      <c r="D434" s="139"/>
      <c r="E434" s="139"/>
      <c r="F434" s="139"/>
      <c r="G434" s="139"/>
    </row>
    <row r="435">
      <c r="D435" s="139"/>
      <c r="E435" s="139"/>
      <c r="F435" s="139"/>
      <c r="G435" s="139"/>
    </row>
    <row r="436">
      <c r="D436" s="139"/>
      <c r="E436" s="139"/>
      <c r="F436" s="139"/>
      <c r="G436" s="139"/>
    </row>
    <row r="437">
      <c r="D437" s="139"/>
      <c r="E437" s="139"/>
      <c r="F437" s="139"/>
      <c r="G437" s="139"/>
    </row>
    <row r="438">
      <c r="D438" s="139"/>
      <c r="E438" s="139"/>
      <c r="F438" s="139"/>
      <c r="G438" s="139"/>
    </row>
    <row r="439">
      <c r="D439" s="139"/>
      <c r="E439" s="139"/>
      <c r="F439" s="139"/>
      <c r="G439" s="139"/>
    </row>
    <row r="440">
      <c r="D440" s="139"/>
      <c r="E440" s="139"/>
      <c r="F440" s="139"/>
      <c r="G440" s="139"/>
    </row>
    <row r="441">
      <c r="D441" s="139"/>
      <c r="E441" s="139"/>
      <c r="F441" s="139"/>
      <c r="G441" s="139"/>
    </row>
    <row r="442">
      <c r="D442" s="139"/>
      <c r="E442" s="139"/>
      <c r="F442" s="139"/>
      <c r="G442" s="139"/>
    </row>
    <row r="443">
      <c r="D443" s="139"/>
      <c r="E443" s="139"/>
      <c r="F443" s="139"/>
      <c r="G443" s="139"/>
    </row>
    <row r="444">
      <c r="D444" s="139"/>
      <c r="E444" s="139"/>
      <c r="F444" s="139"/>
      <c r="G444" s="139"/>
    </row>
    <row r="445">
      <c r="D445" s="139"/>
      <c r="E445" s="139"/>
      <c r="F445" s="139"/>
      <c r="G445" s="139"/>
    </row>
    <row r="446">
      <c r="D446" s="139"/>
      <c r="E446" s="139"/>
      <c r="F446" s="139"/>
      <c r="G446" s="139"/>
    </row>
    <row r="447">
      <c r="D447" s="139"/>
      <c r="E447" s="139"/>
      <c r="F447" s="139"/>
      <c r="G447" s="139"/>
    </row>
    <row r="448">
      <c r="D448" s="139"/>
      <c r="E448" s="139"/>
      <c r="F448" s="139"/>
      <c r="G448" s="139"/>
    </row>
    <row r="449">
      <c r="D449" s="139"/>
      <c r="E449" s="139"/>
      <c r="F449" s="139"/>
      <c r="G449" s="139"/>
    </row>
    <row r="450">
      <c r="D450" s="139"/>
      <c r="E450" s="139"/>
      <c r="F450" s="139"/>
      <c r="G450" s="139"/>
    </row>
    <row r="451">
      <c r="D451" s="139"/>
      <c r="E451" s="139"/>
      <c r="F451" s="139"/>
      <c r="G451" s="139"/>
    </row>
    <row r="452">
      <c r="D452" s="139"/>
      <c r="E452" s="139"/>
      <c r="F452" s="139"/>
      <c r="G452" s="139"/>
    </row>
    <row r="453">
      <c r="D453" s="139"/>
      <c r="E453" s="139"/>
      <c r="F453" s="139"/>
      <c r="G453" s="139"/>
    </row>
    <row r="454">
      <c r="D454" s="139"/>
      <c r="E454" s="139"/>
      <c r="F454" s="139"/>
      <c r="G454" s="139"/>
    </row>
    <row r="455">
      <c r="D455" s="139"/>
      <c r="E455" s="139"/>
      <c r="F455" s="139"/>
      <c r="G455" s="139"/>
    </row>
    <row r="456">
      <c r="D456" s="139"/>
      <c r="E456" s="139"/>
      <c r="F456" s="139"/>
      <c r="G456" s="139"/>
    </row>
    <row r="457">
      <c r="D457" s="139"/>
      <c r="E457" s="139"/>
      <c r="F457" s="139"/>
      <c r="G457" s="139"/>
    </row>
    <row r="458">
      <c r="D458" s="139"/>
      <c r="E458" s="139"/>
      <c r="F458" s="139"/>
      <c r="G458" s="139"/>
    </row>
    <row r="459">
      <c r="D459" s="139"/>
      <c r="E459" s="139"/>
      <c r="F459" s="139"/>
      <c r="G459" s="139"/>
    </row>
    <row r="460">
      <c r="D460" s="139"/>
      <c r="E460" s="139"/>
      <c r="F460" s="139"/>
      <c r="G460" s="139"/>
    </row>
    <row r="461">
      <c r="D461" s="139"/>
      <c r="E461" s="139"/>
      <c r="F461" s="139"/>
      <c r="G461" s="139"/>
    </row>
    <row r="462">
      <c r="D462" s="139"/>
      <c r="E462" s="139"/>
      <c r="F462" s="139"/>
      <c r="G462" s="139"/>
    </row>
    <row r="463">
      <c r="D463" s="139"/>
      <c r="E463" s="139"/>
      <c r="F463" s="139"/>
      <c r="G463" s="139"/>
    </row>
    <row r="464">
      <c r="D464" s="139"/>
      <c r="E464" s="139"/>
      <c r="F464" s="139"/>
      <c r="G464" s="139"/>
    </row>
    <row r="465">
      <c r="D465" s="139"/>
      <c r="E465" s="139"/>
      <c r="F465" s="139"/>
      <c r="G465" s="139"/>
    </row>
    <row r="466">
      <c r="D466" s="139"/>
      <c r="E466" s="139"/>
      <c r="F466" s="139"/>
      <c r="G466" s="139"/>
    </row>
    <row r="467">
      <c r="D467" s="139"/>
      <c r="E467" s="139"/>
      <c r="F467" s="139"/>
      <c r="G467" s="139"/>
    </row>
    <row r="468">
      <c r="D468" s="139"/>
      <c r="E468" s="139"/>
      <c r="F468" s="139"/>
      <c r="G468" s="139"/>
    </row>
    <row r="469">
      <c r="D469" s="139"/>
      <c r="E469" s="139"/>
      <c r="F469" s="139"/>
      <c r="G469" s="139"/>
    </row>
    <row r="470">
      <c r="D470" s="139"/>
      <c r="E470" s="139"/>
      <c r="F470" s="139"/>
      <c r="G470" s="139"/>
    </row>
    <row r="471">
      <c r="D471" s="139"/>
      <c r="E471" s="139"/>
      <c r="F471" s="139"/>
      <c r="G471" s="139"/>
    </row>
    <row r="472">
      <c r="D472" s="139"/>
      <c r="E472" s="139"/>
      <c r="F472" s="139"/>
      <c r="G472" s="139"/>
    </row>
    <row r="473">
      <c r="D473" s="139"/>
      <c r="E473" s="139"/>
      <c r="F473" s="139"/>
      <c r="G473" s="139"/>
    </row>
    <row r="474">
      <c r="D474" s="139"/>
      <c r="E474" s="139"/>
      <c r="F474" s="139"/>
      <c r="G474" s="139"/>
    </row>
    <row r="475">
      <c r="D475" s="139"/>
      <c r="E475" s="139"/>
      <c r="F475" s="139"/>
      <c r="G475" s="139"/>
    </row>
    <row r="476">
      <c r="D476" s="139"/>
      <c r="E476" s="139"/>
      <c r="F476" s="139"/>
      <c r="G476" s="139"/>
    </row>
    <row r="477">
      <c r="D477" s="139"/>
      <c r="E477" s="139"/>
      <c r="F477" s="139"/>
      <c r="G477" s="139"/>
    </row>
    <row r="478">
      <c r="D478" s="139"/>
      <c r="E478" s="139"/>
      <c r="F478" s="139"/>
      <c r="G478" s="139"/>
    </row>
    <row r="479">
      <c r="D479" s="139"/>
      <c r="E479" s="139"/>
      <c r="F479" s="139"/>
      <c r="G479" s="139"/>
    </row>
    <row r="480">
      <c r="D480" s="139"/>
      <c r="E480" s="139"/>
      <c r="F480" s="139"/>
      <c r="G480" s="139"/>
    </row>
    <row r="481">
      <c r="D481" s="139"/>
      <c r="E481" s="139"/>
      <c r="F481" s="139"/>
      <c r="G481" s="139"/>
    </row>
    <row r="482">
      <c r="D482" s="139"/>
      <c r="E482" s="139"/>
      <c r="F482" s="139"/>
      <c r="G482" s="139"/>
    </row>
    <row r="483">
      <c r="D483" s="139"/>
      <c r="E483" s="139"/>
      <c r="F483" s="139"/>
      <c r="G483" s="139"/>
    </row>
    <row r="484">
      <c r="D484" s="139"/>
      <c r="E484" s="139"/>
      <c r="F484" s="139"/>
      <c r="G484" s="139"/>
    </row>
    <row r="485">
      <c r="D485" s="139"/>
      <c r="E485" s="139"/>
      <c r="F485" s="139"/>
      <c r="G485" s="139"/>
    </row>
    <row r="486">
      <c r="D486" s="139"/>
      <c r="E486" s="139"/>
      <c r="F486" s="139"/>
      <c r="G486" s="139"/>
    </row>
    <row r="487">
      <c r="D487" s="139"/>
      <c r="E487" s="139"/>
      <c r="F487" s="139"/>
      <c r="G487" s="139"/>
    </row>
    <row r="488">
      <c r="D488" s="139"/>
      <c r="E488" s="139"/>
      <c r="F488" s="139"/>
      <c r="G488" s="139"/>
    </row>
    <row r="489">
      <c r="D489" s="139"/>
      <c r="E489" s="139"/>
      <c r="F489" s="139"/>
      <c r="G489" s="139"/>
    </row>
    <row r="490">
      <c r="D490" s="139"/>
      <c r="E490" s="139"/>
      <c r="F490" s="139"/>
      <c r="G490" s="139"/>
    </row>
    <row r="491">
      <c r="D491" s="139"/>
      <c r="E491" s="139"/>
      <c r="F491" s="139"/>
      <c r="G491" s="139"/>
    </row>
    <row r="492">
      <c r="D492" s="139"/>
      <c r="E492" s="139"/>
      <c r="F492" s="139"/>
      <c r="G492" s="139"/>
    </row>
    <row r="493">
      <c r="D493" s="139"/>
      <c r="E493" s="139"/>
      <c r="F493" s="139"/>
      <c r="G493" s="139"/>
    </row>
    <row r="494">
      <c r="D494" s="139"/>
      <c r="E494" s="139"/>
      <c r="F494" s="139"/>
      <c r="G494" s="139"/>
    </row>
    <row r="495">
      <c r="D495" s="139"/>
      <c r="E495" s="139"/>
      <c r="F495" s="139"/>
      <c r="G495" s="139"/>
    </row>
    <row r="496">
      <c r="D496" s="139"/>
      <c r="E496" s="139"/>
      <c r="F496" s="139"/>
      <c r="G496" s="139"/>
    </row>
    <row r="497">
      <c r="D497" s="139"/>
      <c r="E497" s="139"/>
      <c r="F497" s="139"/>
      <c r="G497" s="139"/>
    </row>
    <row r="498">
      <c r="D498" s="139"/>
      <c r="E498" s="139"/>
      <c r="F498" s="139"/>
      <c r="G498" s="139"/>
    </row>
    <row r="499">
      <c r="D499" s="139"/>
      <c r="E499" s="139"/>
      <c r="F499" s="139"/>
      <c r="G499" s="139"/>
    </row>
    <row r="500">
      <c r="D500" s="139"/>
      <c r="E500" s="139"/>
      <c r="F500" s="139"/>
      <c r="G500" s="139"/>
    </row>
    <row r="501">
      <c r="D501" s="139"/>
      <c r="E501" s="139"/>
      <c r="F501" s="139"/>
      <c r="G501" s="139"/>
    </row>
    <row r="502">
      <c r="D502" s="139"/>
      <c r="E502" s="139"/>
      <c r="F502" s="139"/>
      <c r="G502" s="139"/>
    </row>
    <row r="503">
      <c r="D503" s="139"/>
      <c r="E503" s="139"/>
      <c r="F503" s="139"/>
      <c r="G503" s="139"/>
    </row>
    <row r="504">
      <c r="D504" s="139"/>
      <c r="E504" s="139"/>
      <c r="F504" s="139"/>
      <c r="G504" s="139"/>
    </row>
    <row r="505">
      <c r="D505" s="139"/>
      <c r="E505" s="139"/>
      <c r="F505" s="139"/>
      <c r="G505" s="139"/>
    </row>
    <row r="506">
      <c r="D506" s="139"/>
      <c r="E506" s="139"/>
      <c r="F506" s="139"/>
      <c r="G506" s="139"/>
    </row>
    <row r="507">
      <c r="D507" s="139"/>
      <c r="E507" s="139"/>
      <c r="F507" s="139"/>
      <c r="G507" s="139"/>
    </row>
    <row r="508">
      <c r="D508" s="139"/>
      <c r="E508" s="139"/>
      <c r="F508" s="139"/>
      <c r="G508" s="139"/>
    </row>
    <row r="509">
      <c r="D509" s="139"/>
      <c r="E509" s="139"/>
      <c r="F509" s="139"/>
      <c r="G509" s="139"/>
    </row>
    <row r="510">
      <c r="D510" s="139"/>
      <c r="E510" s="139"/>
      <c r="F510" s="139"/>
      <c r="G510" s="139"/>
    </row>
    <row r="511">
      <c r="D511" s="139"/>
      <c r="E511" s="139"/>
      <c r="F511" s="139"/>
      <c r="G511" s="139"/>
    </row>
    <row r="512">
      <c r="D512" s="139"/>
      <c r="E512" s="139"/>
      <c r="F512" s="139"/>
      <c r="G512" s="139"/>
    </row>
    <row r="513">
      <c r="D513" s="139"/>
      <c r="E513" s="139"/>
      <c r="F513" s="139"/>
      <c r="G513" s="139"/>
    </row>
    <row r="514">
      <c r="D514" s="139"/>
      <c r="E514" s="139"/>
      <c r="F514" s="139"/>
      <c r="G514" s="139"/>
    </row>
    <row r="515">
      <c r="D515" s="139"/>
      <c r="E515" s="139"/>
      <c r="F515" s="139"/>
      <c r="G515" s="139"/>
    </row>
    <row r="516">
      <c r="D516" s="139"/>
      <c r="E516" s="139"/>
      <c r="F516" s="139"/>
      <c r="G516" s="139"/>
    </row>
    <row r="517">
      <c r="D517" s="139"/>
      <c r="E517" s="139"/>
      <c r="F517" s="139"/>
      <c r="G517" s="139"/>
    </row>
    <row r="518">
      <c r="D518" s="139"/>
      <c r="E518" s="139"/>
      <c r="F518" s="139"/>
      <c r="G518" s="139"/>
    </row>
    <row r="519">
      <c r="D519" s="139"/>
      <c r="E519" s="139"/>
      <c r="F519" s="139"/>
      <c r="G519" s="139"/>
    </row>
    <row r="520">
      <c r="D520" s="139"/>
      <c r="E520" s="139"/>
      <c r="F520" s="139"/>
      <c r="G520" s="139"/>
    </row>
    <row r="521">
      <c r="D521" s="139"/>
      <c r="E521" s="139"/>
      <c r="F521" s="139"/>
      <c r="G521" s="139"/>
    </row>
    <row r="522">
      <c r="D522" s="139"/>
      <c r="E522" s="139"/>
      <c r="F522" s="139"/>
      <c r="G522" s="139"/>
    </row>
    <row r="523">
      <c r="D523" s="139"/>
      <c r="E523" s="139"/>
      <c r="F523" s="139"/>
      <c r="G523" s="139"/>
    </row>
    <row r="524">
      <c r="D524" s="139"/>
      <c r="E524" s="139"/>
      <c r="F524" s="139"/>
      <c r="G524" s="139"/>
    </row>
    <row r="525">
      <c r="D525" s="139"/>
      <c r="E525" s="139"/>
      <c r="F525" s="139"/>
      <c r="G525" s="139"/>
    </row>
    <row r="526">
      <c r="D526" s="139"/>
      <c r="E526" s="139"/>
      <c r="F526" s="139"/>
      <c r="G526" s="139"/>
    </row>
    <row r="527">
      <c r="D527" s="139"/>
      <c r="E527" s="139"/>
      <c r="F527" s="139"/>
      <c r="G527" s="139"/>
    </row>
    <row r="528">
      <c r="D528" s="139"/>
      <c r="E528" s="139"/>
      <c r="F528" s="139"/>
      <c r="G528" s="139"/>
    </row>
    <row r="529">
      <c r="D529" s="139"/>
      <c r="E529" s="139"/>
      <c r="F529" s="139"/>
      <c r="G529" s="139"/>
    </row>
    <row r="530">
      <c r="D530" s="139"/>
      <c r="E530" s="139"/>
      <c r="F530" s="139"/>
      <c r="G530" s="139"/>
    </row>
    <row r="531">
      <c r="D531" s="139"/>
      <c r="E531" s="139"/>
      <c r="F531" s="139"/>
      <c r="G531" s="139"/>
    </row>
    <row r="532">
      <c r="D532" s="139"/>
      <c r="E532" s="139"/>
      <c r="F532" s="139"/>
      <c r="G532" s="139"/>
    </row>
    <row r="533">
      <c r="D533" s="139"/>
      <c r="E533" s="139"/>
      <c r="F533" s="139"/>
      <c r="G533" s="139"/>
    </row>
    <row r="534">
      <c r="D534" s="139"/>
      <c r="E534" s="139"/>
      <c r="F534" s="139"/>
      <c r="G534" s="139"/>
    </row>
    <row r="535">
      <c r="D535" s="139"/>
      <c r="E535" s="139"/>
      <c r="F535" s="139"/>
      <c r="G535" s="139"/>
    </row>
    <row r="536">
      <c r="D536" s="139"/>
      <c r="E536" s="139"/>
      <c r="F536" s="139"/>
      <c r="G536" s="139"/>
    </row>
    <row r="537">
      <c r="D537" s="139"/>
      <c r="E537" s="139"/>
      <c r="F537" s="139"/>
      <c r="G537" s="139"/>
    </row>
    <row r="538">
      <c r="D538" s="139"/>
      <c r="E538" s="139"/>
      <c r="F538" s="139"/>
      <c r="G538" s="139"/>
    </row>
    <row r="539">
      <c r="D539" s="139"/>
      <c r="E539" s="139"/>
      <c r="F539" s="139"/>
      <c r="G539" s="139"/>
    </row>
    <row r="540">
      <c r="D540" s="139"/>
      <c r="E540" s="139"/>
      <c r="F540" s="139"/>
      <c r="G540" s="139"/>
    </row>
    <row r="541">
      <c r="D541" s="139"/>
      <c r="E541" s="139"/>
      <c r="F541" s="139"/>
      <c r="G541" s="139"/>
    </row>
    <row r="542">
      <c r="D542" s="139"/>
      <c r="E542" s="139"/>
      <c r="F542" s="139"/>
      <c r="G542" s="139"/>
    </row>
    <row r="543">
      <c r="D543" s="139"/>
      <c r="E543" s="139"/>
      <c r="F543" s="139"/>
      <c r="G543" s="139"/>
    </row>
    <row r="544">
      <c r="D544" s="139"/>
      <c r="E544" s="139"/>
      <c r="F544" s="139"/>
      <c r="G544" s="139"/>
    </row>
    <row r="545">
      <c r="D545" s="139"/>
      <c r="E545" s="139"/>
      <c r="F545" s="139"/>
      <c r="G545" s="139"/>
    </row>
    <row r="546">
      <c r="D546" s="139"/>
      <c r="E546" s="139"/>
      <c r="F546" s="139"/>
      <c r="G546" s="139"/>
    </row>
    <row r="547">
      <c r="D547" s="139"/>
      <c r="E547" s="139"/>
      <c r="F547" s="139"/>
      <c r="G547" s="139"/>
    </row>
    <row r="548">
      <c r="D548" s="139"/>
      <c r="E548" s="139"/>
      <c r="F548" s="139"/>
      <c r="G548" s="139"/>
    </row>
    <row r="549">
      <c r="D549" s="139"/>
      <c r="E549" s="139"/>
      <c r="F549" s="139"/>
      <c r="G549" s="139"/>
    </row>
    <row r="550">
      <c r="D550" s="139"/>
      <c r="E550" s="139"/>
      <c r="F550" s="139"/>
      <c r="G550" s="139"/>
    </row>
    <row r="551">
      <c r="D551" s="139"/>
      <c r="E551" s="139"/>
      <c r="F551" s="139"/>
      <c r="G551" s="139"/>
    </row>
    <row r="552">
      <c r="D552" s="139"/>
      <c r="E552" s="139"/>
      <c r="F552" s="139"/>
      <c r="G552" s="139"/>
    </row>
    <row r="553">
      <c r="D553" s="139"/>
      <c r="E553" s="139"/>
      <c r="F553" s="139"/>
      <c r="G553" s="139"/>
    </row>
    <row r="554">
      <c r="D554" s="139"/>
      <c r="E554" s="139"/>
      <c r="F554" s="139"/>
      <c r="G554" s="139"/>
    </row>
    <row r="555">
      <c r="D555" s="139"/>
      <c r="E555" s="139"/>
      <c r="F555" s="139"/>
      <c r="G555" s="139"/>
    </row>
    <row r="556">
      <c r="D556" s="139"/>
      <c r="E556" s="139"/>
      <c r="F556" s="139"/>
      <c r="G556" s="139"/>
    </row>
    <row r="557">
      <c r="D557" s="139"/>
      <c r="E557" s="139"/>
      <c r="F557" s="139"/>
      <c r="G557" s="139"/>
    </row>
    <row r="558">
      <c r="D558" s="139"/>
      <c r="E558" s="139"/>
      <c r="F558" s="139"/>
      <c r="G558" s="139"/>
    </row>
    <row r="559">
      <c r="D559" s="139"/>
      <c r="E559" s="139"/>
      <c r="F559" s="139"/>
      <c r="G559" s="139"/>
    </row>
    <row r="560">
      <c r="D560" s="139"/>
      <c r="E560" s="139"/>
      <c r="F560" s="139"/>
      <c r="G560" s="139"/>
    </row>
    <row r="561">
      <c r="D561" s="139"/>
      <c r="E561" s="139"/>
      <c r="F561" s="139"/>
      <c r="G561" s="139"/>
    </row>
    <row r="562">
      <c r="D562" s="139"/>
      <c r="E562" s="139"/>
      <c r="F562" s="139"/>
      <c r="G562" s="139"/>
    </row>
    <row r="563">
      <c r="D563" s="139"/>
      <c r="E563" s="139"/>
      <c r="F563" s="139"/>
      <c r="G563" s="139"/>
    </row>
    <row r="564">
      <c r="D564" s="139"/>
      <c r="E564" s="139"/>
      <c r="F564" s="139"/>
      <c r="G564" s="139"/>
    </row>
    <row r="565">
      <c r="D565" s="139"/>
      <c r="E565" s="139"/>
      <c r="F565" s="139"/>
      <c r="G565" s="139"/>
    </row>
    <row r="566">
      <c r="D566" s="139"/>
      <c r="E566" s="139"/>
      <c r="F566" s="139"/>
      <c r="G566" s="139"/>
    </row>
    <row r="567">
      <c r="D567" s="139"/>
      <c r="E567" s="139"/>
      <c r="F567" s="139"/>
      <c r="G567" s="139"/>
    </row>
    <row r="568">
      <c r="D568" s="139"/>
      <c r="E568" s="139"/>
      <c r="F568" s="139"/>
      <c r="G568" s="139"/>
    </row>
    <row r="569">
      <c r="D569" s="139"/>
      <c r="E569" s="139"/>
      <c r="F569" s="139"/>
      <c r="G569" s="139"/>
    </row>
    <row r="570">
      <c r="D570" s="139"/>
      <c r="E570" s="139"/>
      <c r="F570" s="139"/>
      <c r="G570" s="139"/>
    </row>
    <row r="571">
      <c r="D571" s="139"/>
      <c r="E571" s="139"/>
      <c r="F571" s="139"/>
      <c r="G571" s="139"/>
    </row>
    <row r="572">
      <c r="D572" s="139"/>
      <c r="E572" s="139"/>
      <c r="F572" s="139"/>
      <c r="G572" s="139"/>
    </row>
    <row r="573">
      <c r="D573" s="139"/>
      <c r="E573" s="139"/>
      <c r="F573" s="139"/>
      <c r="G573" s="139"/>
    </row>
    <row r="574">
      <c r="D574" s="139"/>
      <c r="E574" s="139"/>
      <c r="F574" s="139"/>
      <c r="G574" s="139"/>
    </row>
    <row r="575">
      <c r="D575" s="139"/>
      <c r="E575" s="139"/>
      <c r="F575" s="139"/>
      <c r="G575" s="139"/>
    </row>
    <row r="576">
      <c r="D576" s="139"/>
      <c r="E576" s="139"/>
      <c r="F576" s="139"/>
      <c r="G576" s="139"/>
    </row>
    <row r="577">
      <c r="D577" s="139"/>
      <c r="E577" s="139"/>
      <c r="F577" s="139"/>
      <c r="G577" s="139"/>
    </row>
    <row r="578">
      <c r="D578" s="139"/>
      <c r="E578" s="139"/>
      <c r="F578" s="139"/>
      <c r="G578" s="139"/>
    </row>
    <row r="579">
      <c r="D579" s="139"/>
      <c r="E579" s="139"/>
      <c r="F579" s="139"/>
      <c r="G579" s="139"/>
    </row>
    <row r="580">
      <c r="D580" s="139"/>
      <c r="E580" s="139"/>
      <c r="F580" s="139"/>
      <c r="G580" s="139"/>
    </row>
    <row r="581">
      <c r="D581" s="139"/>
      <c r="E581" s="139"/>
      <c r="F581" s="139"/>
      <c r="G581" s="139"/>
    </row>
    <row r="582">
      <c r="D582" s="139"/>
      <c r="E582" s="139"/>
      <c r="F582" s="139"/>
      <c r="G582" s="139"/>
    </row>
    <row r="583">
      <c r="D583" s="139"/>
      <c r="E583" s="139"/>
      <c r="F583" s="139"/>
      <c r="G583" s="139"/>
    </row>
    <row r="584">
      <c r="D584" s="139"/>
      <c r="E584" s="139"/>
      <c r="F584" s="139"/>
      <c r="G584" s="139"/>
    </row>
    <row r="585">
      <c r="D585" s="139"/>
      <c r="E585" s="139"/>
      <c r="F585" s="139"/>
      <c r="G585" s="139"/>
    </row>
    <row r="586">
      <c r="D586" s="139"/>
      <c r="E586" s="139"/>
      <c r="F586" s="139"/>
      <c r="G586" s="139"/>
    </row>
    <row r="587">
      <c r="D587" s="139"/>
      <c r="E587" s="139"/>
      <c r="F587" s="139"/>
      <c r="G587" s="139"/>
    </row>
    <row r="588">
      <c r="D588" s="139"/>
      <c r="E588" s="139"/>
      <c r="F588" s="139"/>
      <c r="G588" s="139"/>
    </row>
    <row r="589">
      <c r="D589" s="139"/>
      <c r="E589" s="139"/>
      <c r="F589" s="139"/>
      <c r="G589" s="139"/>
    </row>
    <row r="590">
      <c r="D590" s="139"/>
      <c r="E590" s="139"/>
      <c r="F590" s="139"/>
      <c r="G590" s="139"/>
    </row>
    <row r="591">
      <c r="D591" s="139"/>
      <c r="E591" s="139"/>
      <c r="F591" s="139"/>
      <c r="G591" s="139"/>
    </row>
    <row r="592">
      <c r="D592" s="139"/>
      <c r="E592" s="139"/>
      <c r="F592" s="139"/>
      <c r="G592" s="139"/>
    </row>
    <row r="593">
      <c r="D593" s="139"/>
      <c r="E593" s="139"/>
      <c r="F593" s="139"/>
      <c r="G593" s="139"/>
    </row>
    <row r="594">
      <c r="D594" s="139"/>
      <c r="E594" s="139"/>
      <c r="F594" s="139"/>
      <c r="G594" s="139"/>
    </row>
    <row r="595">
      <c r="D595" s="139"/>
      <c r="E595" s="139"/>
      <c r="F595" s="139"/>
      <c r="G595" s="139"/>
    </row>
    <row r="596">
      <c r="D596" s="139"/>
      <c r="E596" s="139"/>
      <c r="F596" s="139"/>
      <c r="G596" s="139"/>
    </row>
    <row r="597">
      <c r="D597" s="139"/>
      <c r="E597" s="139"/>
      <c r="F597" s="139"/>
      <c r="G597" s="139"/>
    </row>
    <row r="598">
      <c r="D598" s="139"/>
      <c r="E598" s="139"/>
      <c r="F598" s="139"/>
      <c r="G598" s="139"/>
    </row>
    <row r="599">
      <c r="D599" s="139"/>
      <c r="E599" s="139"/>
      <c r="F599" s="139"/>
      <c r="G599" s="139"/>
    </row>
    <row r="600">
      <c r="D600" s="139"/>
      <c r="E600" s="139"/>
      <c r="F600" s="139"/>
      <c r="G600" s="139"/>
    </row>
    <row r="601">
      <c r="D601" s="139"/>
      <c r="E601" s="139"/>
      <c r="F601" s="139"/>
      <c r="G601" s="139"/>
    </row>
    <row r="602">
      <c r="D602" s="139"/>
      <c r="E602" s="139"/>
      <c r="F602" s="139"/>
      <c r="G602" s="139"/>
    </row>
    <row r="603">
      <c r="D603" s="139"/>
      <c r="E603" s="139"/>
      <c r="F603" s="139"/>
      <c r="G603" s="139"/>
    </row>
    <row r="604">
      <c r="D604" s="139"/>
      <c r="E604" s="139"/>
      <c r="F604" s="139"/>
      <c r="G604" s="139"/>
    </row>
    <row r="605">
      <c r="D605" s="139"/>
      <c r="E605" s="139"/>
      <c r="F605" s="139"/>
      <c r="G605" s="139"/>
    </row>
    <row r="606">
      <c r="D606" s="139"/>
      <c r="E606" s="139"/>
      <c r="F606" s="139"/>
      <c r="G606" s="139"/>
    </row>
    <row r="607">
      <c r="D607" s="139"/>
      <c r="E607" s="139"/>
      <c r="F607" s="139"/>
      <c r="G607" s="139"/>
    </row>
    <row r="608">
      <c r="D608" s="139"/>
      <c r="E608" s="139"/>
      <c r="F608" s="139"/>
      <c r="G608" s="139"/>
    </row>
    <row r="609">
      <c r="D609" s="139"/>
      <c r="E609" s="139"/>
      <c r="F609" s="139"/>
      <c r="G609" s="139"/>
    </row>
    <row r="610">
      <c r="D610" s="139"/>
      <c r="E610" s="139"/>
      <c r="F610" s="139"/>
      <c r="G610" s="139"/>
    </row>
    <row r="611">
      <c r="D611" s="139"/>
      <c r="E611" s="139"/>
      <c r="F611" s="139"/>
      <c r="G611" s="139"/>
    </row>
    <row r="612">
      <c r="D612" s="139"/>
      <c r="E612" s="139"/>
      <c r="F612" s="139"/>
      <c r="G612" s="139"/>
    </row>
    <row r="613">
      <c r="D613" s="139"/>
      <c r="E613" s="139"/>
      <c r="F613" s="139"/>
      <c r="G613" s="139"/>
    </row>
    <row r="614">
      <c r="D614" s="139"/>
      <c r="E614" s="139"/>
      <c r="F614" s="139"/>
      <c r="G614" s="139"/>
    </row>
    <row r="615">
      <c r="D615" s="139"/>
      <c r="E615" s="139"/>
      <c r="F615" s="139"/>
      <c r="G615" s="139"/>
    </row>
    <row r="616">
      <c r="D616" s="139"/>
      <c r="E616" s="139"/>
      <c r="F616" s="139"/>
      <c r="G616" s="139"/>
    </row>
    <row r="617">
      <c r="D617" s="139"/>
      <c r="E617" s="139"/>
      <c r="F617" s="139"/>
      <c r="G617" s="139"/>
    </row>
    <row r="618">
      <c r="D618" s="139"/>
      <c r="E618" s="139"/>
      <c r="F618" s="139"/>
      <c r="G618" s="139"/>
    </row>
    <row r="619">
      <c r="D619" s="139"/>
      <c r="E619" s="139"/>
      <c r="F619" s="139"/>
      <c r="G619" s="139"/>
    </row>
    <row r="620">
      <c r="D620" s="139"/>
      <c r="E620" s="139"/>
      <c r="F620" s="139"/>
      <c r="G620" s="139"/>
    </row>
    <row r="621">
      <c r="D621" s="139"/>
      <c r="E621" s="139"/>
      <c r="F621" s="139"/>
      <c r="G621" s="139"/>
    </row>
    <row r="622">
      <c r="D622" s="139"/>
      <c r="E622" s="139"/>
      <c r="F622" s="139"/>
      <c r="G622" s="139"/>
    </row>
    <row r="623">
      <c r="D623" s="139"/>
      <c r="E623" s="139"/>
      <c r="F623" s="139"/>
      <c r="G623" s="139"/>
    </row>
    <row r="624">
      <c r="D624" s="139"/>
      <c r="E624" s="139"/>
      <c r="F624" s="139"/>
      <c r="G624" s="139"/>
    </row>
    <row r="625">
      <c r="D625" s="139"/>
      <c r="E625" s="139"/>
      <c r="F625" s="139"/>
      <c r="G625" s="139"/>
    </row>
    <row r="626">
      <c r="D626" s="139"/>
      <c r="E626" s="139"/>
      <c r="F626" s="139"/>
      <c r="G626" s="139"/>
    </row>
    <row r="627">
      <c r="D627" s="139"/>
      <c r="E627" s="139"/>
      <c r="F627" s="139"/>
      <c r="G627" s="139"/>
    </row>
    <row r="628">
      <c r="D628" s="139"/>
      <c r="E628" s="139"/>
      <c r="F628" s="139"/>
      <c r="G628" s="139"/>
    </row>
    <row r="629">
      <c r="D629" s="139"/>
      <c r="E629" s="139"/>
      <c r="F629" s="139"/>
      <c r="G629" s="139"/>
    </row>
    <row r="630">
      <c r="D630" s="139"/>
      <c r="E630" s="139"/>
      <c r="F630" s="139"/>
      <c r="G630" s="139"/>
    </row>
    <row r="631">
      <c r="D631" s="139"/>
      <c r="E631" s="139"/>
      <c r="F631" s="139"/>
      <c r="G631" s="139"/>
    </row>
    <row r="632">
      <c r="D632" s="139"/>
      <c r="E632" s="139"/>
      <c r="F632" s="139"/>
      <c r="G632" s="139"/>
    </row>
    <row r="633">
      <c r="D633" s="139"/>
      <c r="E633" s="139"/>
      <c r="F633" s="139"/>
      <c r="G633" s="139"/>
    </row>
    <row r="634">
      <c r="D634" s="139"/>
      <c r="E634" s="139"/>
      <c r="F634" s="139"/>
      <c r="G634" s="139"/>
    </row>
    <row r="635">
      <c r="D635" s="139"/>
      <c r="E635" s="139"/>
      <c r="F635" s="139"/>
      <c r="G635" s="139"/>
    </row>
    <row r="636">
      <c r="D636" s="139"/>
      <c r="E636" s="139"/>
      <c r="F636" s="139"/>
      <c r="G636" s="139"/>
    </row>
    <row r="637">
      <c r="D637" s="139"/>
      <c r="E637" s="139"/>
      <c r="F637" s="139"/>
      <c r="G637" s="139"/>
    </row>
    <row r="638">
      <c r="D638" s="139"/>
      <c r="E638" s="139"/>
      <c r="F638" s="139"/>
      <c r="G638" s="139"/>
    </row>
    <row r="639">
      <c r="D639" s="139"/>
      <c r="E639" s="139"/>
      <c r="F639" s="139"/>
      <c r="G639" s="139"/>
    </row>
    <row r="640">
      <c r="D640" s="139"/>
      <c r="E640" s="139"/>
      <c r="F640" s="139"/>
      <c r="G640" s="139"/>
    </row>
    <row r="641">
      <c r="D641" s="139"/>
      <c r="E641" s="139"/>
      <c r="F641" s="139"/>
      <c r="G641" s="139"/>
    </row>
    <row r="642">
      <c r="D642" s="139"/>
      <c r="E642" s="139"/>
      <c r="F642" s="139"/>
      <c r="G642" s="139"/>
    </row>
    <row r="643">
      <c r="D643" s="139"/>
      <c r="E643" s="139"/>
      <c r="F643" s="139"/>
      <c r="G643" s="139"/>
    </row>
    <row r="644">
      <c r="D644" s="139"/>
      <c r="E644" s="139"/>
      <c r="F644" s="139"/>
      <c r="G644" s="139"/>
    </row>
    <row r="645">
      <c r="D645" s="139"/>
      <c r="E645" s="139"/>
      <c r="F645" s="139"/>
      <c r="G645" s="139"/>
    </row>
    <row r="646">
      <c r="D646" s="139"/>
      <c r="E646" s="139"/>
      <c r="F646" s="139"/>
      <c r="G646" s="139"/>
    </row>
    <row r="647">
      <c r="D647" s="139"/>
      <c r="E647" s="139"/>
      <c r="F647" s="139"/>
      <c r="G647" s="139"/>
    </row>
    <row r="648">
      <c r="D648" s="139"/>
      <c r="E648" s="139"/>
      <c r="F648" s="139"/>
      <c r="G648" s="139"/>
    </row>
    <row r="649">
      <c r="D649" s="139"/>
      <c r="E649" s="139"/>
      <c r="F649" s="139"/>
      <c r="G649" s="139"/>
    </row>
    <row r="650">
      <c r="D650" s="139"/>
      <c r="E650" s="139"/>
      <c r="F650" s="139"/>
      <c r="G650" s="139"/>
    </row>
    <row r="651">
      <c r="D651" s="139"/>
      <c r="E651" s="139"/>
      <c r="F651" s="139"/>
      <c r="G651" s="139"/>
    </row>
    <row r="652">
      <c r="D652" s="139"/>
      <c r="E652" s="139"/>
      <c r="F652" s="139"/>
      <c r="G652" s="139"/>
    </row>
    <row r="653">
      <c r="D653" s="139"/>
      <c r="E653" s="139"/>
      <c r="F653" s="139"/>
      <c r="G653" s="139"/>
    </row>
    <row r="654">
      <c r="D654" s="139"/>
      <c r="E654" s="139"/>
      <c r="F654" s="139"/>
      <c r="G654" s="139"/>
    </row>
    <row r="655">
      <c r="D655" s="139"/>
      <c r="E655" s="139"/>
      <c r="F655" s="139"/>
      <c r="G655" s="139"/>
    </row>
    <row r="656">
      <c r="D656" s="139"/>
      <c r="E656" s="139"/>
      <c r="F656" s="139"/>
      <c r="G656" s="139"/>
    </row>
    <row r="657">
      <c r="D657" s="139"/>
      <c r="E657" s="139"/>
      <c r="F657" s="139"/>
      <c r="G657" s="139"/>
    </row>
    <row r="658">
      <c r="D658" s="139"/>
      <c r="E658" s="139"/>
      <c r="F658" s="139"/>
      <c r="G658" s="139"/>
    </row>
    <row r="659">
      <c r="D659" s="139"/>
      <c r="E659" s="139"/>
      <c r="F659" s="139"/>
      <c r="G659" s="139"/>
    </row>
    <row r="660">
      <c r="D660" s="139"/>
      <c r="E660" s="139"/>
      <c r="F660" s="139"/>
      <c r="G660" s="139"/>
    </row>
    <row r="661">
      <c r="D661" s="139"/>
      <c r="E661" s="139"/>
      <c r="F661" s="139"/>
      <c r="G661" s="139"/>
    </row>
    <row r="662">
      <c r="D662" s="139"/>
      <c r="E662" s="139"/>
      <c r="F662" s="139"/>
      <c r="G662" s="139"/>
    </row>
    <row r="663">
      <c r="D663" s="139"/>
      <c r="E663" s="139"/>
      <c r="F663" s="139"/>
      <c r="G663" s="139"/>
    </row>
    <row r="664">
      <c r="D664" s="139"/>
      <c r="E664" s="139"/>
      <c r="F664" s="139"/>
      <c r="G664" s="139"/>
    </row>
    <row r="665">
      <c r="D665" s="139"/>
      <c r="E665" s="139"/>
      <c r="F665" s="139"/>
      <c r="G665" s="139"/>
    </row>
    <row r="666">
      <c r="D666" s="139"/>
      <c r="E666" s="139"/>
      <c r="F666" s="139"/>
      <c r="G666" s="139"/>
    </row>
    <row r="667">
      <c r="D667" s="139"/>
      <c r="E667" s="139"/>
      <c r="F667" s="139"/>
      <c r="G667" s="139"/>
    </row>
    <row r="668">
      <c r="D668" s="139"/>
      <c r="E668" s="139"/>
      <c r="F668" s="139"/>
      <c r="G668" s="139"/>
    </row>
    <row r="669">
      <c r="D669" s="139"/>
      <c r="E669" s="139"/>
      <c r="F669" s="139"/>
      <c r="G669" s="139"/>
    </row>
    <row r="670">
      <c r="D670" s="139"/>
      <c r="E670" s="139"/>
      <c r="F670" s="139"/>
      <c r="G670" s="139"/>
    </row>
    <row r="671">
      <c r="D671" s="139"/>
      <c r="E671" s="139"/>
      <c r="F671" s="139"/>
      <c r="G671" s="139"/>
    </row>
    <row r="672">
      <c r="D672" s="139"/>
      <c r="E672" s="139"/>
      <c r="F672" s="139"/>
      <c r="G672" s="139"/>
    </row>
    <row r="673">
      <c r="D673" s="139"/>
      <c r="E673" s="139"/>
      <c r="F673" s="139"/>
      <c r="G673" s="139"/>
    </row>
    <row r="674">
      <c r="D674" s="139"/>
      <c r="E674" s="139"/>
      <c r="F674" s="139"/>
      <c r="G674" s="139"/>
    </row>
    <row r="675">
      <c r="D675" s="139"/>
      <c r="E675" s="139"/>
      <c r="F675" s="139"/>
      <c r="G675" s="139"/>
    </row>
    <row r="676">
      <c r="D676" s="139"/>
      <c r="E676" s="139"/>
      <c r="F676" s="139"/>
      <c r="G676" s="139"/>
    </row>
    <row r="677">
      <c r="D677" s="139"/>
      <c r="E677" s="139"/>
      <c r="F677" s="139"/>
      <c r="G677" s="139"/>
    </row>
    <row r="678">
      <c r="D678" s="139"/>
      <c r="E678" s="139"/>
      <c r="F678" s="139"/>
      <c r="G678" s="139"/>
    </row>
    <row r="679">
      <c r="D679" s="139"/>
      <c r="E679" s="139"/>
      <c r="F679" s="139"/>
      <c r="G679" s="139"/>
    </row>
    <row r="680">
      <c r="D680" s="139"/>
      <c r="E680" s="139"/>
      <c r="F680" s="139"/>
      <c r="G680" s="139"/>
    </row>
    <row r="681">
      <c r="D681" s="139"/>
      <c r="E681" s="139"/>
      <c r="F681" s="139"/>
      <c r="G681" s="139"/>
    </row>
    <row r="682">
      <c r="D682" s="139"/>
      <c r="E682" s="139"/>
      <c r="F682" s="139"/>
      <c r="G682" s="139"/>
    </row>
    <row r="683">
      <c r="D683" s="139"/>
      <c r="E683" s="139"/>
      <c r="F683" s="139"/>
      <c r="G683" s="139"/>
    </row>
    <row r="684">
      <c r="D684" s="139"/>
      <c r="E684" s="139"/>
      <c r="F684" s="139"/>
      <c r="G684" s="139"/>
    </row>
    <row r="685">
      <c r="D685" s="139"/>
      <c r="E685" s="139"/>
      <c r="F685" s="139"/>
      <c r="G685" s="139"/>
    </row>
    <row r="686">
      <c r="D686" s="139"/>
      <c r="E686" s="139"/>
      <c r="F686" s="139"/>
      <c r="G686" s="139"/>
    </row>
    <row r="687">
      <c r="D687" s="139"/>
      <c r="E687" s="139"/>
      <c r="F687" s="139"/>
      <c r="G687" s="139"/>
    </row>
    <row r="688">
      <c r="D688" s="139"/>
      <c r="E688" s="139"/>
      <c r="F688" s="139"/>
      <c r="G688" s="139"/>
    </row>
    <row r="689">
      <c r="D689" s="139"/>
      <c r="E689" s="139"/>
      <c r="F689" s="139"/>
      <c r="G689" s="139"/>
    </row>
    <row r="690">
      <c r="D690" s="139"/>
      <c r="E690" s="139"/>
      <c r="F690" s="139"/>
      <c r="G690" s="139"/>
    </row>
    <row r="691">
      <c r="D691" s="139"/>
      <c r="E691" s="139"/>
      <c r="F691" s="139"/>
      <c r="G691" s="139"/>
    </row>
    <row r="692">
      <c r="D692" s="139"/>
      <c r="E692" s="139"/>
      <c r="F692" s="139"/>
      <c r="G692" s="139"/>
    </row>
    <row r="693">
      <c r="D693" s="139"/>
      <c r="E693" s="139"/>
      <c r="F693" s="139"/>
      <c r="G693" s="139"/>
    </row>
    <row r="694">
      <c r="D694" s="139"/>
      <c r="E694" s="139"/>
      <c r="F694" s="139"/>
      <c r="G694" s="139"/>
    </row>
    <row r="695">
      <c r="D695" s="139"/>
      <c r="E695" s="139"/>
      <c r="F695" s="139"/>
      <c r="G695" s="139"/>
    </row>
    <row r="696">
      <c r="D696" s="139"/>
      <c r="E696" s="139"/>
      <c r="F696" s="139"/>
      <c r="G696" s="139"/>
    </row>
    <row r="697">
      <c r="D697" s="139"/>
      <c r="E697" s="139"/>
      <c r="F697" s="139"/>
      <c r="G697" s="139"/>
    </row>
    <row r="698">
      <c r="D698" s="139"/>
      <c r="E698" s="139"/>
      <c r="F698" s="139"/>
      <c r="G698" s="139"/>
    </row>
    <row r="699">
      <c r="D699" s="139"/>
      <c r="E699" s="139"/>
      <c r="F699" s="139"/>
      <c r="G699" s="139"/>
    </row>
    <row r="700">
      <c r="D700" s="139"/>
      <c r="E700" s="139"/>
      <c r="F700" s="139"/>
      <c r="G700" s="139"/>
    </row>
    <row r="701">
      <c r="D701" s="139"/>
      <c r="E701" s="139"/>
      <c r="F701" s="139"/>
      <c r="G701" s="139"/>
    </row>
    <row r="702">
      <c r="D702" s="139"/>
      <c r="E702" s="139"/>
      <c r="F702" s="139"/>
      <c r="G702" s="139"/>
    </row>
    <row r="703">
      <c r="D703" s="139"/>
      <c r="E703" s="139"/>
      <c r="F703" s="139"/>
      <c r="G703" s="139"/>
    </row>
    <row r="704">
      <c r="D704" s="139"/>
      <c r="E704" s="139"/>
      <c r="F704" s="139"/>
      <c r="G704" s="139"/>
    </row>
    <row r="705">
      <c r="D705" s="139"/>
      <c r="E705" s="139"/>
      <c r="F705" s="139"/>
      <c r="G705" s="139"/>
    </row>
    <row r="706">
      <c r="D706" s="139"/>
      <c r="E706" s="139"/>
      <c r="F706" s="139"/>
      <c r="G706" s="139"/>
    </row>
    <row r="707">
      <c r="D707" s="139"/>
      <c r="E707" s="139"/>
      <c r="F707" s="139"/>
      <c r="G707" s="139"/>
    </row>
    <row r="708">
      <c r="D708" s="139"/>
      <c r="E708" s="139"/>
      <c r="F708" s="139"/>
      <c r="G708" s="139"/>
    </row>
    <row r="709">
      <c r="D709" s="139"/>
      <c r="E709" s="139"/>
      <c r="F709" s="139"/>
      <c r="G709" s="139"/>
    </row>
    <row r="710">
      <c r="D710" s="139"/>
      <c r="E710" s="139"/>
      <c r="F710" s="139"/>
      <c r="G710" s="139"/>
    </row>
    <row r="711">
      <c r="D711" s="139"/>
      <c r="E711" s="139"/>
      <c r="F711" s="139"/>
      <c r="G711" s="139"/>
    </row>
    <row r="712">
      <c r="D712" s="139"/>
      <c r="E712" s="139"/>
      <c r="F712" s="139"/>
      <c r="G712" s="139"/>
    </row>
    <row r="713">
      <c r="D713" s="139"/>
      <c r="E713" s="139"/>
      <c r="F713" s="139"/>
      <c r="G713" s="139"/>
    </row>
    <row r="714">
      <c r="D714" s="139"/>
      <c r="E714" s="139"/>
      <c r="F714" s="139"/>
      <c r="G714" s="139"/>
    </row>
    <row r="715">
      <c r="D715" s="139"/>
      <c r="E715" s="139"/>
      <c r="F715" s="139"/>
      <c r="G715" s="139"/>
    </row>
    <row r="716">
      <c r="D716" s="139"/>
      <c r="E716" s="139"/>
      <c r="F716" s="139"/>
      <c r="G716" s="139"/>
    </row>
    <row r="717">
      <c r="D717" s="139"/>
      <c r="E717" s="139"/>
      <c r="F717" s="139"/>
      <c r="G717" s="139"/>
    </row>
    <row r="718">
      <c r="D718" s="139"/>
      <c r="E718" s="139"/>
      <c r="F718" s="139"/>
      <c r="G718" s="139"/>
    </row>
    <row r="719">
      <c r="D719" s="139"/>
      <c r="E719" s="139"/>
      <c r="F719" s="139"/>
      <c r="G719" s="139"/>
    </row>
    <row r="720">
      <c r="D720" s="139"/>
      <c r="E720" s="139"/>
      <c r="F720" s="139"/>
      <c r="G720" s="139"/>
    </row>
    <row r="721">
      <c r="D721" s="139"/>
      <c r="E721" s="139"/>
      <c r="F721" s="139"/>
      <c r="G721" s="139"/>
    </row>
    <row r="722">
      <c r="D722" s="139"/>
      <c r="E722" s="139"/>
      <c r="F722" s="139"/>
      <c r="G722" s="139"/>
    </row>
    <row r="723">
      <c r="D723" s="139"/>
      <c r="E723" s="139"/>
      <c r="F723" s="139"/>
      <c r="G723" s="139"/>
    </row>
    <row r="724">
      <c r="D724" s="139"/>
      <c r="E724" s="139"/>
      <c r="F724" s="139"/>
      <c r="G724" s="139"/>
    </row>
    <row r="725">
      <c r="D725" s="139"/>
      <c r="E725" s="139"/>
      <c r="F725" s="139"/>
      <c r="G725" s="139"/>
    </row>
    <row r="726">
      <c r="D726" s="139"/>
      <c r="E726" s="139"/>
      <c r="F726" s="139"/>
      <c r="G726" s="139"/>
    </row>
    <row r="727">
      <c r="D727" s="139"/>
      <c r="E727" s="139"/>
      <c r="F727" s="139"/>
      <c r="G727" s="139"/>
    </row>
    <row r="728">
      <c r="D728" s="139"/>
      <c r="E728" s="139"/>
      <c r="F728" s="139"/>
      <c r="G728" s="139"/>
    </row>
    <row r="729">
      <c r="D729" s="139"/>
      <c r="E729" s="139"/>
      <c r="F729" s="139"/>
      <c r="G729" s="139"/>
    </row>
    <row r="730">
      <c r="D730" s="139"/>
      <c r="E730" s="139"/>
      <c r="F730" s="139"/>
      <c r="G730" s="139"/>
    </row>
    <row r="731">
      <c r="D731" s="139"/>
      <c r="E731" s="139"/>
      <c r="F731" s="139"/>
      <c r="G731" s="139"/>
    </row>
    <row r="732">
      <c r="D732" s="139"/>
      <c r="E732" s="139"/>
      <c r="F732" s="139"/>
      <c r="G732" s="139"/>
    </row>
    <row r="733">
      <c r="D733" s="139"/>
      <c r="E733" s="139"/>
      <c r="F733" s="139"/>
      <c r="G733" s="139"/>
    </row>
    <row r="734">
      <c r="D734" s="139"/>
      <c r="E734" s="139"/>
      <c r="F734" s="139"/>
      <c r="G734" s="139"/>
    </row>
    <row r="735">
      <c r="D735" s="139"/>
      <c r="E735" s="139"/>
      <c r="F735" s="139"/>
      <c r="G735" s="139"/>
    </row>
    <row r="736">
      <c r="D736" s="139"/>
      <c r="E736" s="139"/>
      <c r="F736" s="139"/>
      <c r="G736" s="139"/>
    </row>
    <row r="737">
      <c r="D737" s="139"/>
      <c r="E737" s="139"/>
      <c r="F737" s="139"/>
      <c r="G737" s="139"/>
    </row>
    <row r="738">
      <c r="D738" s="139"/>
      <c r="E738" s="139"/>
      <c r="F738" s="139"/>
      <c r="G738" s="139"/>
    </row>
    <row r="739">
      <c r="D739" s="139"/>
      <c r="E739" s="139"/>
      <c r="F739" s="139"/>
      <c r="G739" s="139"/>
    </row>
    <row r="740">
      <c r="D740" s="139"/>
      <c r="E740" s="139"/>
      <c r="F740" s="139"/>
      <c r="G740" s="139"/>
    </row>
    <row r="741">
      <c r="D741" s="139"/>
      <c r="E741" s="139"/>
      <c r="F741" s="139"/>
      <c r="G741" s="139"/>
    </row>
    <row r="742">
      <c r="D742" s="139"/>
      <c r="E742" s="139"/>
      <c r="F742" s="139"/>
      <c r="G742" s="139"/>
    </row>
    <row r="743">
      <c r="D743" s="139"/>
      <c r="E743" s="139"/>
      <c r="F743" s="139"/>
      <c r="G743" s="139"/>
    </row>
    <row r="744">
      <c r="D744" s="139"/>
      <c r="E744" s="139"/>
      <c r="F744" s="139"/>
      <c r="G744" s="139"/>
    </row>
    <row r="745">
      <c r="D745" s="139"/>
      <c r="E745" s="139"/>
      <c r="F745" s="139"/>
      <c r="G745" s="139"/>
    </row>
    <row r="746">
      <c r="D746" s="139"/>
      <c r="E746" s="139"/>
      <c r="F746" s="139"/>
      <c r="G746" s="139"/>
    </row>
    <row r="747">
      <c r="D747" s="139"/>
      <c r="E747" s="139"/>
      <c r="F747" s="139"/>
      <c r="G747" s="139"/>
    </row>
    <row r="748">
      <c r="D748" s="139"/>
      <c r="E748" s="139"/>
      <c r="F748" s="139"/>
      <c r="G748" s="139"/>
    </row>
    <row r="749">
      <c r="D749" s="139"/>
      <c r="E749" s="139"/>
      <c r="F749" s="139"/>
      <c r="G749" s="139"/>
    </row>
    <row r="750">
      <c r="D750" s="139"/>
      <c r="E750" s="139"/>
      <c r="F750" s="139"/>
      <c r="G750" s="139"/>
    </row>
    <row r="751">
      <c r="D751" s="139"/>
      <c r="E751" s="139"/>
      <c r="F751" s="139"/>
      <c r="G751" s="139"/>
    </row>
    <row r="752">
      <c r="D752" s="139"/>
      <c r="E752" s="139"/>
      <c r="F752" s="139"/>
      <c r="G752" s="139"/>
    </row>
    <row r="753">
      <c r="D753" s="139"/>
      <c r="E753" s="139"/>
      <c r="F753" s="139"/>
      <c r="G753" s="139"/>
    </row>
    <row r="754">
      <c r="D754" s="139"/>
      <c r="E754" s="139"/>
      <c r="F754" s="139"/>
      <c r="G754" s="139"/>
    </row>
    <row r="755">
      <c r="D755" s="139"/>
      <c r="E755" s="139"/>
      <c r="F755" s="139"/>
      <c r="G755" s="139"/>
    </row>
    <row r="756">
      <c r="D756" s="139"/>
      <c r="E756" s="139"/>
      <c r="F756" s="139"/>
      <c r="G756" s="139"/>
    </row>
    <row r="757">
      <c r="D757" s="139"/>
      <c r="E757" s="139"/>
      <c r="F757" s="139"/>
      <c r="G757" s="139"/>
    </row>
    <row r="758">
      <c r="D758" s="139"/>
      <c r="E758" s="139"/>
      <c r="F758" s="139"/>
      <c r="G758" s="139"/>
    </row>
    <row r="759">
      <c r="D759" s="139"/>
      <c r="E759" s="139"/>
      <c r="F759" s="139"/>
      <c r="G759" s="139"/>
    </row>
    <row r="760">
      <c r="D760" s="139"/>
      <c r="E760" s="139"/>
      <c r="F760" s="139"/>
      <c r="G760" s="139"/>
    </row>
    <row r="761">
      <c r="D761" s="139"/>
      <c r="E761" s="139"/>
      <c r="F761" s="139"/>
      <c r="G761" s="139"/>
    </row>
    <row r="762">
      <c r="D762" s="139"/>
      <c r="E762" s="139"/>
      <c r="F762" s="139"/>
      <c r="G762" s="139"/>
    </row>
    <row r="763">
      <c r="D763" s="139"/>
      <c r="E763" s="139"/>
      <c r="F763" s="139"/>
      <c r="G763" s="139"/>
    </row>
    <row r="764">
      <c r="D764" s="139"/>
      <c r="E764" s="139"/>
      <c r="F764" s="139"/>
      <c r="G764" s="139"/>
    </row>
    <row r="765">
      <c r="D765" s="139"/>
      <c r="E765" s="139"/>
      <c r="F765" s="139"/>
      <c r="G765" s="139"/>
    </row>
    <row r="766">
      <c r="D766" s="139"/>
      <c r="E766" s="139"/>
      <c r="F766" s="139"/>
      <c r="G766" s="139"/>
    </row>
    <row r="767">
      <c r="D767" s="139"/>
      <c r="E767" s="139"/>
      <c r="F767" s="139"/>
      <c r="G767" s="139"/>
    </row>
    <row r="768">
      <c r="D768" s="139"/>
      <c r="E768" s="139"/>
      <c r="F768" s="139"/>
      <c r="G768" s="139"/>
    </row>
    <row r="769">
      <c r="D769" s="139"/>
      <c r="E769" s="139"/>
      <c r="F769" s="139"/>
      <c r="G769" s="139"/>
    </row>
    <row r="770">
      <c r="D770" s="139"/>
      <c r="E770" s="139"/>
      <c r="F770" s="139"/>
      <c r="G770" s="139"/>
    </row>
    <row r="771">
      <c r="D771" s="139"/>
      <c r="E771" s="139"/>
      <c r="F771" s="139"/>
      <c r="G771" s="139"/>
    </row>
    <row r="772">
      <c r="D772" s="139"/>
      <c r="E772" s="139"/>
      <c r="F772" s="139"/>
      <c r="G772" s="139"/>
    </row>
    <row r="773">
      <c r="D773" s="139"/>
      <c r="E773" s="139"/>
      <c r="F773" s="139"/>
      <c r="G773" s="139"/>
    </row>
    <row r="774">
      <c r="D774" s="139"/>
      <c r="E774" s="139"/>
      <c r="F774" s="139"/>
      <c r="G774" s="139"/>
    </row>
    <row r="775">
      <c r="D775" s="139"/>
      <c r="E775" s="139"/>
      <c r="F775" s="139"/>
      <c r="G775" s="139"/>
    </row>
    <row r="776">
      <c r="D776" s="139"/>
      <c r="E776" s="139"/>
      <c r="F776" s="139"/>
      <c r="G776" s="139"/>
    </row>
    <row r="777">
      <c r="D777" s="139"/>
      <c r="E777" s="139"/>
      <c r="F777" s="139"/>
      <c r="G777" s="139"/>
    </row>
    <row r="778">
      <c r="D778" s="139"/>
      <c r="E778" s="139"/>
      <c r="F778" s="139"/>
      <c r="G778" s="139"/>
    </row>
    <row r="779">
      <c r="D779" s="139"/>
      <c r="E779" s="139"/>
      <c r="F779" s="139"/>
      <c r="G779" s="139"/>
    </row>
    <row r="780">
      <c r="D780" s="139"/>
      <c r="E780" s="139"/>
      <c r="F780" s="139"/>
      <c r="G780" s="139"/>
    </row>
    <row r="781">
      <c r="D781" s="139"/>
      <c r="E781" s="139"/>
      <c r="F781" s="139"/>
      <c r="G781" s="139"/>
    </row>
    <row r="782">
      <c r="D782" s="139"/>
      <c r="E782" s="139"/>
      <c r="F782" s="139"/>
      <c r="G782" s="139"/>
    </row>
    <row r="783">
      <c r="D783" s="139"/>
      <c r="E783" s="139"/>
      <c r="F783" s="139"/>
      <c r="G783" s="139"/>
    </row>
    <row r="784">
      <c r="D784" s="139"/>
      <c r="E784" s="139"/>
      <c r="F784" s="139"/>
      <c r="G784" s="139"/>
    </row>
    <row r="785">
      <c r="D785" s="139"/>
      <c r="E785" s="139"/>
      <c r="F785" s="139"/>
      <c r="G785" s="139"/>
    </row>
    <row r="786">
      <c r="D786" s="139"/>
      <c r="E786" s="139"/>
      <c r="F786" s="139"/>
      <c r="G786" s="139"/>
    </row>
    <row r="787">
      <c r="D787" s="139"/>
      <c r="E787" s="139"/>
      <c r="F787" s="139"/>
      <c r="G787" s="139"/>
    </row>
    <row r="788">
      <c r="D788" s="139"/>
      <c r="E788" s="139"/>
      <c r="F788" s="139"/>
      <c r="G788" s="139"/>
    </row>
    <row r="789">
      <c r="D789" s="139"/>
      <c r="E789" s="139"/>
      <c r="F789" s="139"/>
      <c r="G789" s="139"/>
    </row>
    <row r="790">
      <c r="D790" s="139"/>
      <c r="E790" s="139"/>
      <c r="F790" s="139"/>
      <c r="G790" s="139"/>
    </row>
    <row r="791">
      <c r="D791" s="139"/>
      <c r="E791" s="139"/>
      <c r="F791" s="139"/>
      <c r="G791" s="139"/>
    </row>
    <row r="792">
      <c r="D792" s="139"/>
      <c r="E792" s="139"/>
      <c r="F792" s="139"/>
      <c r="G792" s="139"/>
    </row>
    <row r="793">
      <c r="D793" s="139"/>
      <c r="E793" s="139"/>
      <c r="F793" s="139"/>
      <c r="G793" s="139"/>
    </row>
    <row r="794">
      <c r="D794" s="139"/>
      <c r="E794" s="139"/>
      <c r="F794" s="139"/>
      <c r="G794" s="139"/>
    </row>
    <row r="795">
      <c r="D795" s="139"/>
      <c r="E795" s="139"/>
      <c r="F795" s="139"/>
      <c r="G795" s="139"/>
    </row>
    <row r="796">
      <c r="D796" s="139"/>
      <c r="E796" s="139"/>
      <c r="F796" s="139"/>
      <c r="G796" s="139"/>
    </row>
    <row r="797">
      <c r="D797" s="139"/>
      <c r="E797" s="139"/>
      <c r="F797" s="139"/>
      <c r="G797" s="139"/>
    </row>
    <row r="798">
      <c r="D798" s="139"/>
      <c r="E798" s="139"/>
      <c r="F798" s="139"/>
      <c r="G798" s="139"/>
    </row>
    <row r="799">
      <c r="D799" s="139"/>
      <c r="E799" s="139"/>
      <c r="F799" s="139"/>
      <c r="G799" s="139"/>
    </row>
    <row r="800">
      <c r="D800" s="139"/>
      <c r="E800" s="139"/>
      <c r="F800" s="139"/>
      <c r="G800" s="139"/>
    </row>
    <row r="801">
      <c r="D801" s="139"/>
      <c r="E801" s="139"/>
      <c r="F801" s="139"/>
      <c r="G801" s="139"/>
    </row>
    <row r="802">
      <c r="D802" s="139"/>
      <c r="E802" s="139"/>
      <c r="F802" s="139"/>
      <c r="G802" s="139"/>
    </row>
    <row r="803">
      <c r="D803" s="139"/>
      <c r="E803" s="139"/>
      <c r="F803" s="139"/>
      <c r="G803" s="139"/>
    </row>
    <row r="804">
      <c r="D804" s="139"/>
      <c r="E804" s="139"/>
      <c r="F804" s="139"/>
      <c r="G804" s="139"/>
    </row>
    <row r="805">
      <c r="D805" s="139"/>
      <c r="E805" s="139"/>
      <c r="F805" s="139"/>
      <c r="G805" s="139"/>
    </row>
    <row r="806">
      <c r="D806" s="139"/>
      <c r="E806" s="139"/>
      <c r="F806" s="139"/>
      <c r="G806" s="139"/>
    </row>
    <row r="807">
      <c r="D807" s="139"/>
      <c r="E807" s="139"/>
      <c r="F807" s="139"/>
      <c r="G807" s="139"/>
    </row>
    <row r="808">
      <c r="D808" s="139"/>
      <c r="E808" s="139"/>
      <c r="F808" s="139"/>
      <c r="G808" s="139"/>
    </row>
    <row r="809">
      <c r="D809" s="139"/>
      <c r="E809" s="139"/>
      <c r="F809" s="139"/>
      <c r="G809" s="139"/>
    </row>
    <row r="810">
      <c r="D810" s="139"/>
      <c r="E810" s="139"/>
      <c r="F810" s="139"/>
      <c r="G810" s="139"/>
    </row>
    <row r="811">
      <c r="D811" s="139"/>
      <c r="E811" s="139"/>
      <c r="F811" s="139"/>
      <c r="G811" s="139"/>
    </row>
    <row r="812">
      <c r="D812" s="139"/>
      <c r="E812" s="139"/>
      <c r="F812" s="139"/>
      <c r="G812" s="139"/>
    </row>
    <row r="813">
      <c r="D813" s="139"/>
      <c r="E813" s="139"/>
      <c r="F813" s="139"/>
      <c r="G813" s="139"/>
    </row>
    <row r="814">
      <c r="D814" s="139"/>
      <c r="E814" s="139"/>
      <c r="F814" s="139"/>
      <c r="G814" s="139"/>
    </row>
    <row r="815">
      <c r="D815" s="139"/>
      <c r="E815" s="139"/>
      <c r="F815" s="139"/>
      <c r="G815" s="139"/>
    </row>
    <row r="816">
      <c r="D816" s="139"/>
      <c r="E816" s="139"/>
      <c r="F816" s="139"/>
      <c r="G816" s="139"/>
    </row>
    <row r="817">
      <c r="D817" s="139"/>
      <c r="E817" s="139"/>
      <c r="F817" s="139"/>
      <c r="G817" s="139"/>
    </row>
    <row r="818">
      <c r="D818" s="139"/>
      <c r="E818" s="139"/>
      <c r="F818" s="139"/>
      <c r="G818" s="139"/>
    </row>
    <row r="819">
      <c r="D819" s="139"/>
      <c r="E819" s="139"/>
      <c r="F819" s="139"/>
      <c r="G819" s="139"/>
    </row>
    <row r="820">
      <c r="D820" s="139"/>
      <c r="E820" s="139"/>
      <c r="F820" s="139"/>
      <c r="G820" s="139"/>
    </row>
    <row r="821">
      <c r="D821" s="139"/>
      <c r="E821" s="139"/>
      <c r="F821" s="139"/>
      <c r="G821" s="139"/>
    </row>
    <row r="822">
      <c r="D822" s="139"/>
      <c r="E822" s="139"/>
      <c r="F822" s="139"/>
      <c r="G822" s="139"/>
    </row>
    <row r="823">
      <c r="D823" s="139"/>
      <c r="E823" s="139"/>
      <c r="F823" s="139"/>
      <c r="G823" s="139"/>
    </row>
    <row r="824">
      <c r="D824" s="139"/>
      <c r="E824" s="139"/>
      <c r="F824" s="139"/>
      <c r="G824" s="139"/>
    </row>
    <row r="825">
      <c r="D825" s="139"/>
      <c r="E825" s="139"/>
      <c r="F825" s="139"/>
      <c r="G825" s="139"/>
    </row>
    <row r="826">
      <c r="D826" s="139"/>
      <c r="E826" s="139"/>
      <c r="F826" s="139"/>
      <c r="G826" s="139"/>
    </row>
    <row r="827">
      <c r="D827" s="139"/>
      <c r="E827" s="139"/>
      <c r="F827" s="139"/>
      <c r="G827" s="139"/>
    </row>
    <row r="828">
      <c r="D828" s="139"/>
      <c r="E828" s="139"/>
      <c r="F828" s="139"/>
      <c r="G828" s="139"/>
    </row>
    <row r="829">
      <c r="D829" s="139"/>
      <c r="E829" s="139"/>
      <c r="F829" s="139"/>
      <c r="G829" s="139"/>
    </row>
    <row r="830">
      <c r="D830" s="139"/>
      <c r="E830" s="139"/>
      <c r="F830" s="139"/>
      <c r="G830" s="139"/>
    </row>
    <row r="831">
      <c r="D831" s="139"/>
      <c r="E831" s="139"/>
      <c r="F831" s="139"/>
      <c r="G831" s="139"/>
    </row>
    <row r="832">
      <c r="D832" s="139"/>
      <c r="E832" s="139"/>
      <c r="F832" s="139"/>
      <c r="G832" s="139"/>
    </row>
    <row r="833">
      <c r="D833" s="139"/>
      <c r="E833" s="139"/>
      <c r="F833" s="139"/>
      <c r="G833" s="139"/>
    </row>
    <row r="834">
      <c r="D834" s="139"/>
      <c r="E834" s="139"/>
      <c r="F834" s="139"/>
      <c r="G834" s="139"/>
    </row>
    <row r="835">
      <c r="D835" s="139"/>
      <c r="E835" s="139"/>
      <c r="F835" s="139"/>
      <c r="G835" s="139"/>
    </row>
    <row r="836">
      <c r="D836" s="139"/>
      <c r="E836" s="139"/>
      <c r="F836" s="139"/>
      <c r="G836" s="139"/>
    </row>
    <row r="837">
      <c r="D837" s="139"/>
      <c r="E837" s="139"/>
      <c r="F837" s="139"/>
      <c r="G837" s="139"/>
    </row>
    <row r="838">
      <c r="D838" s="139"/>
      <c r="E838" s="139"/>
      <c r="F838" s="139"/>
      <c r="G838" s="139"/>
    </row>
    <row r="839">
      <c r="D839" s="139"/>
      <c r="E839" s="139"/>
      <c r="F839" s="139"/>
      <c r="G839" s="139"/>
    </row>
    <row r="840">
      <c r="D840" s="139"/>
      <c r="E840" s="139"/>
      <c r="F840" s="139"/>
      <c r="G840" s="139"/>
    </row>
    <row r="841">
      <c r="D841" s="139"/>
      <c r="E841" s="139"/>
      <c r="F841" s="139"/>
      <c r="G841" s="139"/>
    </row>
    <row r="842">
      <c r="D842" s="139"/>
      <c r="E842" s="139"/>
      <c r="F842" s="139"/>
      <c r="G842" s="139"/>
    </row>
    <row r="843">
      <c r="D843" s="139"/>
      <c r="E843" s="139"/>
      <c r="F843" s="139"/>
      <c r="G843" s="139"/>
    </row>
    <row r="844">
      <c r="D844" s="139"/>
      <c r="E844" s="139"/>
      <c r="F844" s="139"/>
      <c r="G844" s="139"/>
    </row>
    <row r="845">
      <c r="D845" s="139"/>
      <c r="E845" s="139"/>
      <c r="F845" s="139"/>
      <c r="G845" s="139"/>
    </row>
    <row r="846">
      <c r="D846" s="139"/>
      <c r="E846" s="139"/>
      <c r="F846" s="139"/>
      <c r="G846" s="139"/>
    </row>
    <row r="847">
      <c r="D847" s="139"/>
      <c r="E847" s="139"/>
      <c r="F847" s="139"/>
      <c r="G847" s="139"/>
    </row>
    <row r="848">
      <c r="D848" s="139"/>
      <c r="E848" s="139"/>
      <c r="F848" s="139"/>
      <c r="G848" s="139"/>
    </row>
    <row r="849">
      <c r="D849" s="139"/>
      <c r="E849" s="139"/>
      <c r="F849" s="139"/>
      <c r="G849" s="139"/>
    </row>
    <row r="850">
      <c r="D850" s="139"/>
      <c r="E850" s="139"/>
      <c r="F850" s="139"/>
      <c r="G850" s="139"/>
    </row>
    <row r="851">
      <c r="D851" s="139"/>
      <c r="E851" s="139"/>
      <c r="F851" s="139"/>
      <c r="G851" s="139"/>
    </row>
    <row r="852">
      <c r="D852" s="139"/>
      <c r="E852" s="139"/>
      <c r="F852" s="139"/>
      <c r="G852" s="139"/>
    </row>
    <row r="853">
      <c r="D853" s="139"/>
      <c r="E853" s="139"/>
      <c r="F853" s="139"/>
      <c r="G853" s="139"/>
    </row>
    <row r="854">
      <c r="D854" s="139"/>
      <c r="E854" s="139"/>
      <c r="F854" s="139"/>
      <c r="G854" s="139"/>
    </row>
    <row r="855">
      <c r="D855" s="139"/>
      <c r="E855" s="139"/>
      <c r="F855" s="139"/>
      <c r="G855" s="139"/>
    </row>
    <row r="856">
      <c r="D856" s="139"/>
      <c r="E856" s="139"/>
      <c r="F856" s="139"/>
      <c r="G856" s="139"/>
    </row>
    <row r="857">
      <c r="D857" s="139"/>
      <c r="E857" s="139"/>
      <c r="F857" s="139"/>
      <c r="G857" s="139"/>
    </row>
    <row r="858">
      <c r="D858" s="139"/>
      <c r="E858" s="139"/>
      <c r="F858" s="139"/>
      <c r="G858" s="139"/>
    </row>
    <row r="859">
      <c r="D859" s="139"/>
      <c r="E859" s="139"/>
      <c r="F859" s="139"/>
      <c r="G859" s="139"/>
    </row>
    <row r="860">
      <c r="D860" s="139"/>
      <c r="E860" s="139"/>
      <c r="F860" s="139"/>
      <c r="G860" s="139"/>
    </row>
    <row r="861">
      <c r="D861" s="139"/>
      <c r="E861" s="139"/>
      <c r="F861" s="139"/>
      <c r="G861" s="139"/>
    </row>
    <row r="862">
      <c r="D862" s="139"/>
      <c r="E862" s="139"/>
      <c r="F862" s="139"/>
      <c r="G862" s="139"/>
    </row>
    <row r="863">
      <c r="D863" s="139"/>
      <c r="E863" s="139"/>
      <c r="F863" s="139"/>
      <c r="G863" s="139"/>
    </row>
    <row r="864">
      <c r="D864" s="139"/>
      <c r="E864" s="139"/>
      <c r="F864" s="139"/>
      <c r="G864" s="139"/>
    </row>
    <row r="865">
      <c r="D865" s="139"/>
      <c r="E865" s="139"/>
      <c r="F865" s="139"/>
      <c r="G865" s="139"/>
    </row>
    <row r="866">
      <c r="D866" s="139"/>
      <c r="E866" s="139"/>
      <c r="F866" s="139"/>
      <c r="G866" s="139"/>
    </row>
    <row r="867">
      <c r="D867" s="139"/>
      <c r="E867" s="139"/>
      <c r="F867" s="139"/>
      <c r="G867" s="139"/>
    </row>
    <row r="868">
      <c r="D868" s="139"/>
      <c r="E868" s="139"/>
      <c r="F868" s="139"/>
      <c r="G868" s="139"/>
    </row>
    <row r="869">
      <c r="D869" s="139"/>
      <c r="E869" s="139"/>
      <c r="F869" s="139"/>
      <c r="G869" s="139"/>
    </row>
    <row r="870">
      <c r="D870" s="139"/>
      <c r="E870" s="139"/>
      <c r="F870" s="139"/>
      <c r="G870" s="139"/>
    </row>
    <row r="871">
      <c r="D871" s="139"/>
      <c r="E871" s="139"/>
      <c r="F871" s="139"/>
      <c r="G871" s="139"/>
    </row>
    <row r="872">
      <c r="D872" s="139"/>
      <c r="E872" s="139"/>
      <c r="F872" s="139"/>
      <c r="G872" s="139"/>
    </row>
    <row r="873">
      <c r="D873" s="139"/>
      <c r="E873" s="139"/>
      <c r="F873" s="139"/>
      <c r="G873" s="139"/>
    </row>
    <row r="874">
      <c r="D874" s="139"/>
      <c r="E874" s="139"/>
      <c r="F874" s="139"/>
      <c r="G874" s="139"/>
    </row>
    <row r="875">
      <c r="D875" s="139"/>
      <c r="E875" s="139"/>
      <c r="F875" s="139"/>
      <c r="G875" s="139"/>
    </row>
    <row r="876">
      <c r="D876" s="139"/>
      <c r="E876" s="139"/>
      <c r="F876" s="139"/>
      <c r="G876" s="139"/>
    </row>
    <row r="877">
      <c r="D877" s="139"/>
      <c r="E877" s="139"/>
      <c r="F877" s="139"/>
      <c r="G877" s="139"/>
    </row>
    <row r="878">
      <c r="D878" s="139"/>
      <c r="E878" s="139"/>
      <c r="F878" s="139"/>
      <c r="G878" s="139"/>
    </row>
    <row r="879">
      <c r="D879" s="139"/>
      <c r="E879" s="139"/>
      <c r="F879" s="139"/>
      <c r="G879" s="139"/>
    </row>
    <row r="880">
      <c r="D880" s="139"/>
      <c r="E880" s="139"/>
      <c r="F880" s="139"/>
      <c r="G880" s="139"/>
    </row>
    <row r="881">
      <c r="D881" s="139"/>
      <c r="E881" s="139"/>
      <c r="F881" s="139"/>
      <c r="G881" s="139"/>
    </row>
    <row r="882">
      <c r="D882" s="139"/>
      <c r="E882" s="139"/>
      <c r="F882" s="139"/>
      <c r="G882" s="139"/>
    </row>
    <row r="883">
      <c r="D883" s="139"/>
      <c r="E883" s="139"/>
      <c r="F883" s="139"/>
      <c r="G883" s="139"/>
    </row>
    <row r="884">
      <c r="D884" s="139"/>
      <c r="E884" s="139"/>
      <c r="F884" s="139"/>
      <c r="G884" s="139"/>
    </row>
    <row r="885">
      <c r="D885" s="139"/>
      <c r="E885" s="139"/>
      <c r="F885" s="139"/>
      <c r="G885" s="139"/>
    </row>
    <row r="886">
      <c r="D886" s="139"/>
      <c r="E886" s="139"/>
      <c r="F886" s="139"/>
      <c r="G886" s="139"/>
    </row>
    <row r="887">
      <c r="D887" s="139"/>
      <c r="E887" s="139"/>
      <c r="F887" s="139"/>
      <c r="G887" s="139"/>
    </row>
    <row r="888">
      <c r="D888" s="139"/>
      <c r="E888" s="139"/>
      <c r="F888" s="139"/>
      <c r="G888" s="139"/>
    </row>
    <row r="889">
      <c r="D889" s="139"/>
      <c r="E889" s="139"/>
      <c r="F889" s="139"/>
      <c r="G889" s="139"/>
    </row>
    <row r="890">
      <c r="D890" s="139"/>
      <c r="E890" s="139"/>
      <c r="F890" s="139"/>
      <c r="G890" s="139"/>
    </row>
    <row r="891">
      <c r="D891" s="139"/>
      <c r="E891" s="139"/>
      <c r="F891" s="139"/>
      <c r="G891" s="139"/>
    </row>
    <row r="892">
      <c r="D892" s="139"/>
      <c r="E892" s="139"/>
      <c r="F892" s="139"/>
      <c r="G892" s="139"/>
    </row>
    <row r="893">
      <c r="D893" s="139"/>
      <c r="E893" s="139"/>
      <c r="F893" s="139"/>
      <c r="G893" s="139"/>
    </row>
    <row r="894">
      <c r="D894" s="139"/>
      <c r="E894" s="139"/>
      <c r="F894" s="139"/>
      <c r="G894" s="139"/>
    </row>
    <row r="895">
      <c r="D895" s="139"/>
      <c r="E895" s="139"/>
      <c r="F895" s="139"/>
      <c r="G895" s="139"/>
    </row>
    <row r="896">
      <c r="D896" s="139"/>
      <c r="E896" s="139"/>
      <c r="F896" s="139"/>
      <c r="G896" s="139"/>
    </row>
    <row r="897">
      <c r="D897" s="139"/>
      <c r="E897" s="139"/>
      <c r="F897" s="139"/>
      <c r="G897" s="139"/>
    </row>
    <row r="898">
      <c r="D898" s="139"/>
      <c r="E898" s="139"/>
      <c r="F898" s="139"/>
      <c r="G898" s="139"/>
    </row>
    <row r="899">
      <c r="D899" s="139"/>
      <c r="E899" s="139"/>
      <c r="F899" s="139"/>
      <c r="G899" s="139"/>
    </row>
    <row r="900">
      <c r="D900" s="139"/>
      <c r="E900" s="139"/>
      <c r="F900" s="139"/>
      <c r="G900" s="139"/>
    </row>
    <row r="901">
      <c r="D901" s="139"/>
      <c r="E901" s="139"/>
      <c r="F901" s="139"/>
      <c r="G901" s="139"/>
    </row>
    <row r="902">
      <c r="D902" s="139"/>
      <c r="E902" s="139"/>
      <c r="F902" s="139"/>
      <c r="G902" s="139"/>
    </row>
    <row r="903">
      <c r="D903" s="139"/>
      <c r="E903" s="139"/>
      <c r="F903" s="139"/>
      <c r="G903" s="139"/>
    </row>
    <row r="904">
      <c r="D904" s="139"/>
      <c r="E904" s="139"/>
      <c r="F904" s="139"/>
      <c r="G904" s="139"/>
    </row>
    <row r="905">
      <c r="D905" s="139"/>
      <c r="E905" s="139"/>
      <c r="F905" s="139"/>
      <c r="G905" s="139"/>
    </row>
    <row r="906">
      <c r="D906" s="139"/>
      <c r="E906" s="139"/>
      <c r="F906" s="139"/>
      <c r="G906" s="139"/>
    </row>
    <row r="907">
      <c r="D907" s="139"/>
      <c r="E907" s="139"/>
      <c r="F907" s="139"/>
      <c r="G907" s="139"/>
    </row>
    <row r="908">
      <c r="D908" s="139"/>
      <c r="E908" s="139"/>
      <c r="F908" s="139"/>
      <c r="G908" s="139"/>
    </row>
    <row r="909">
      <c r="D909" s="139"/>
      <c r="E909" s="139"/>
      <c r="F909" s="139"/>
      <c r="G909" s="139"/>
    </row>
    <row r="910">
      <c r="D910" s="139"/>
      <c r="E910" s="139"/>
      <c r="F910" s="139"/>
      <c r="G910" s="139"/>
    </row>
    <row r="911">
      <c r="D911" s="139"/>
      <c r="E911" s="139"/>
      <c r="F911" s="139"/>
      <c r="G911" s="139"/>
    </row>
    <row r="912">
      <c r="D912" s="139"/>
      <c r="E912" s="139"/>
      <c r="F912" s="139"/>
      <c r="G912" s="139"/>
    </row>
    <row r="913">
      <c r="D913" s="139"/>
      <c r="E913" s="139"/>
      <c r="F913" s="139"/>
      <c r="G913" s="139"/>
    </row>
    <row r="914">
      <c r="D914" s="139"/>
      <c r="E914" s="139"/>
      <c r="F914" s="139"/>
      <c r="G914" s="139"/>
    </row>
    <row r="915">
      <c r="D915" s="139"/>
      <c r="E915" s="139"/>
      <c r="F915" s="139"/>
      <c r="G915" s="139"/>
    </row>
    <row r="916">
      <c r="D916" s="139"/>
      <c r="E916" s="139"/>
      <c r="F916" s="139"/>
      <c r="G916" s="139"/>
    </row>
    <row r="917">
      <c r="D917" s="139"/>
      <c r="E917" s="139"/>
      <c r="F917" s="139"/>
      <c r="G917" s="139"/>
    </row>
    <row r="918">
      <c r="D918" s="139"/>
      <c r="E918" s="139"/>
      <c r="F918" s="139"/>
      <c r="G918" s="139"/>
    </row>
    <row r="919">
      <c r="D919" s="139"/>
      <c r="E919" s="139"/>
      <c r="F919" s="139"/>
      <c r="G919" s="139"/>
    </row>
    <row r="920">
      <c r="D920" s="139"/>
      <c r="E920" s="139"/>
      <c r="F920" s="139"/>
      <c r="G920" s="139"/>
    </row>
    <row r="921">
      <c r="D921" s="139"/>
      <c r="E921" s="139"/>
      <c r="F921" s="139"/>
      <c r="G921" s="139"/>
    </row>
    <row r="922">
      <c r="D922" s="139"/>
      <c r="E922" s="139"/>
      <c r="F922" s="139"/>
      <c r="G922" s="139"/>
    </row>
    <row r="923">
      <c r="D923" s="139"/>
      <c r="E923" s="139"/>
      <c r="F923" s="139"/>
      <c r="G923" s="139"/>
    </row>
    <row r="924">
      <c r="D924" s="139"/>
      <c r="E924" s="139"/>
      <c r="F924" s="139"/>
      <c r="G924" s="139"/>
    </row>
    <row r="925">
      <c r="D925" s="139"/>
      <c r="E925" s="139"/>
      <c r="F925" s="139"/>
      <c r="G925" s="139"/>
    </row>
    <row r="926">
      <c r="D926" s="139"/>
      <c r="E926" s="139"/>
      <c r="F926" s="139"/>
      <c r="G926" s="139"/>
    </row>
    <row r="927">
      <c r="D927" s="139"/>
      <c r="E927" s="139"/>
      <c r="F927" s="139"/>
      <c r="G927" s="139"/>
    </row>
    <row r="928">
      <c r="D928" s="139"/>
      <c r="E928" s="139"/>
      <c r="F928" s="139"/>
      <c r="G928" s="139"/>
    </row>
    <row r="929">
      <c r="D929" s="139"/>
      <c r="E929" s="139"/>
      <c r="F929" s="139"/>
      <c r="G929" s="139"/>
    </row>
    <row r="930">
      <c r="D930" s="139"/>
      <c r="E930" s="139"/>
      <c r="F930" s="139"/>
      <c r="G930" s="139"/>
    </row>
    <row r="931">
      <c r="D931" s="139"/>
      <c r="E931" s="139"/>
      <c r="F931" s="139"/>
      <c r="G931" s="139"/>
    </row>
    <row r="932">
      <c r="D932" s="139"/>
      <c r="E932" s="139"/>
      <c r="F932" s="139"/>
      <c r="G932" s="139"/>
    </row>
    <row r="933">
      <c r="D933" s="139"/>
      <c r="E933" s="139"/>
      <c r="F933" s="139"/>
      <c r="G933" s="139"/>
    </row>
    <row r="934">
      <c r="D934" s="139"/>
      <c r="E934" s="139"/>
      <c r="F934" s="139"/>
      <c r="G934" s="139"/>
    </row>
    <row r="935">
      <c r="D935" s="139"/>
      <c r="E935" s="139"/>
      <c r="F935" s="139"/>
      <c r="G935" s="139"/>
    </row>
    <row r="936">
      <c r="D936" s="139"/>
      <c r="E936" s="139"/>
      <c r="F936" s="139"/>
      <c r="G936" s="139"/>
    </row>
    <row r="937">
      <c r="D937" s="139"/>
      <c r="E937" s="139"/>
      <c r="F937" s="139"/>
      <c r="G937" s="139"/>
    </row>
    <row r="938">
      <c r="D938" s="139"/>
      <c r="E938" s="139"/>
      <c r="F938" s="139"/>
      <c r="G938" s="139"/>
    </row>
    <row r="939">
      <c r="D939" s="139"/>
      <c r="E939" s="139"/>
      <c r="F939" s="139"/>
      <c r="G939" s="139"/>
    </row>
    <row r="940">
      <c r="D940" s="139"/>
      <c r="E940" s="139"/>
      <c r="F940" s="139"/>
      <c r="G940" s="139"/>
    </row>
    <row r="941">
      <c r="D941" s="139"/>
      <c r="E941" s="139"/>
      <c r="F941" s="139"/>
      <c r="G941" s="139"/>
    </row>
    <row r="942">
      <c r="D942" s="139"/>
      <c r="E942" s="139"/>
      <c r="F942" s="139"/>
      <c r="G942" s="139"/>
    </row>
    <row r="943">
      <c r="D943" s="139"/>
      <c r="E943" s="139"/>
      <c r="F943" s="139"/>
      <c r="G943" s="139"/>
    </row>
    <row r="944">
      <c r="D944" s="139"/>
      <c r="E944" s="139"/>
      <c r="F944" s="139"/>
      <c r="G944" s="139"/>
    </row>
    <row r="945">
      <c r="D945" s="139"/>
      <c r="E945" s="139"/>
      <c r="F945" s="139"/>
      <c r="G945" s="139"/>
    </row>
    <row r="946">
      <c r="D946" s="139"/>
      <c r="E946" s="139"/>
      <c r="F946" s="139"/>
      <c r="G946" s="139"/>
    </row>
    <row r="947">
      <c r="D947" s="139"/>
      <c r="E947" s="139"/>
      <c r="F947" s="139"/>
      <c r="G947" s="139"/>
    </row>
    <row r="948">
      <c r="D948" s="139"/>
      <c r="E948" s="139"/>
      <c r="F948" s="139"/>
      <c r="G948" s="139"/>
    </row>
    <row r="949">
      <c r="D949" s="139"/>
      <c r="E949" s="139"/>
      <c r="F949" s="139"/>
      <c r="G949" s="139"/>
    </row>
    <row r="950">
      <c r="D950" s="139"/>
      <c r="E950" s="139"/>
      <c r="F950" s="139"/>
      <c r="G950" s="139"/>
    </row>
    <row r="951">
      <c r="D951" s="139"/>
      <c r="E951" s="139"/>
      <c r="F951" s="139"/>
      <c r="G951" s="139"/>
    </row>
    <row r="952">
      <c r="D952" s="139"/>
      <c r="E952" s="139"/>
      <c r="F952" s="139"/>
      <c r="G952" s="139"/>
    </row>
    <row r="953">
      <c r="D953" s="139"/>
      <c r="E953" s="139"/>
      <c r="F953" s="139"/>
      <c r="G953" s="139"/>
    </row>
    <row r="954">
      <c r="D954" s="139"/>
      <c r="E954" s="139"/>
      <c r="F954" s="139"/>
      <c r="G954" s="139"/>
    </row>
    <row r="955">
      <c r="D955" s="139"/>
      <c r="E955" s="139"/>
      <c r="F955" s="139"/>
      <c r="G955" s="139"/>
    </row>
    <row r="956">
      <c r="D956" s="139"/>
      <c r="E956" s="139"/>
      <c r="F956" s="139"/>
      <c r="G956" s="139"/>
    </row>
    <row r="957">
      <c r="D957" s="139"/>
      <c r="E957" s="139"/>
      <c r="F957" s="139"/>
      <c r="G957" s="139"/>
    </row>
    <row r="958">
      <c r="D958" s="139"/>
      <c r="E958" s="139"/>
      <c r="F958" s="139"/>
      <c r="G958" s="139"/>
    </row>
    <row r="959">
      <c r="D959" s="139"/>
      <c r="E959" s="139"/>
      <c r="F959" s="139"/>
      <c r="G959" s="139"/>
    </row>
    <row r="960">
      <c r="D960" s="139"/>
      <c r="E960" s="139"/>
      <c r="F960" s="139"/>
      <c r="G960" s="139"/>
    </row>
    <row r="961">
      <c r="D961" s="139"/>
      <c r="E961" s="139"/>
      <c r="F961" s="139"/>
      <c r="G961" s="139"/>
    </row>
    <row r="962">
      <c r="D962" s="139"/>
      <c r="E962" s="139"/>
      <c r="F962" s="139"/>
      <c r="G962" s="139"/>
    </row>
    <row r="963">
      <c r="D963" s="139"/>
      <c r="E963" s="139"/>
      <c r="F963" s="139"/>
      <c r="G963" s="139"/>
    </row>
    <row r="964">
      <c r="D964" s="139"/>
      <c r="E964" s="139"/>
      <c r="F964" s="139"/>
      <c r="G964" s="139"/>
    </row>
    <row r="965">
      <c r="D965" s="139"/>
      <c r="E965" s="139"/>
      <c r="F965" s="139"/>
      <c r="G965" s="139"/>
    </row>
    <row r="966">
      <c r="D966" s="139"/>
      <c r="E966" s="139"/>
      <c r="F966" s="139"/>
      <c r="G966" s="139"/>
    </row>
    <row r="967">
      <c r="D967" s="139"/>
      <c r="E967" s="139"/>
      <c r="F967" s="139"/>
      <c r="G967" s="139"/>
    </row>
    <row r="968">
      <c r="D968" s="139"/>
      <c r="E968" s="139"/>
      <c r="F968" s="139"/>
      <c r="G968" s="139"/>
    </row>
    <row r="969">
      <c r="D969" s="139"/>
      <c r="E969" s="139"/>
      <c r="F969" s="139"/>
      <c r="G969" s="139"/>
    </row>
    <row r="970">
      <c r="D970" s="139"/>
      <c r="E970" s="139"/>
      <c r="F970" s="139"/>
      <c r="G970" s="139"/>
    </row>
    <row r="971">
      <c r="D971" s="139"/>
      <c r="E971" s="139"/>
      <c r="F971" s="139"/>
      <c r="G971" s="139"/>
    </row>
    <row r="972">
      <c r="D972" s="139"/>
      <c r="E972" s="139"/>
      <c r="F972" s="139"/>
      <c r="G972" s="139"/>
    </row>
    <row r="973">
      <c r="D973" s="139"/>
      <c r="E973" s="139"/>
      <c r="F973" s="139"/>
      <c r="G973" s="139"/>
    </row>
    <row r="974">
      <c r="D974" s="139"/>
      <c r="E974" s="139"/>
      <c r="F974" s="139"/>
      <c r="G974" s="139"/>
    </row>
    <row r="975">
      <c r="D975" s="139"/>
      <c r="E975" s="139"/>
      <c r="F975" s="139"/>
      <c r="G975" s="139"/>
    </row>
    <row r="976">
      <c r="D976" s="139"/>
      <c r="E976" s="139"/>
      <c r="F976" s="139"/>
      <c r="G976" s="139"/>
    </row>
    <row r="977">
      <c r="D977" s="139"/>
      <c r="E977" s="139"/>
      <c r="F977" s="139"/>
      <c r="G977" s="139"/>
    </row>
    <row r="978">
      <c r="D978" s="139"/>
      <c r="E978" s="139"/>
      <c r="F978" s="139"/>
      <c r="G978" s="139"/>
    </row>
    <row r="979">
      <c r="D979" s="139"/>
      <c r="E979" s="139"/>
      <c r="F979" s="139"/>
      <c r="G979" s="139"/>
    </row>
    <row r="980">
      <c r="D980" s="139"/>
      <c r="E980" s="139"/>
      <c r="F980" s="139"/>
      <c r="G980" s="139"/>
    </row>
    <row r="981">
      <c r="D981" s="139"/>
      <c r="E981" s="139"/>
      <c r="F981" s="139"/>
      <c r="G981" s="139"/>
    </row>
    <row r="982">
      <c r="D982" s="139"/>
      <c r="E982" s="139"/>
      <c r="F982" s="139"/>
      <c r="G982" s="139"/>
    </row>
    <row r="983">
      <c r="D983" s="139"/>
      <c r="E983" s="139"/>
      <c r="F983" s="139"/>
      <c r="G983" s="139"/>
    </row>
    <row r="984">
      <c r="D984" s="139"/>
      <c r="E984" s="139"/>
      <c r="F984" s="139"/>
      <c r="G984" s="139"/>
    </row>
    <row r="985">
      <c r="D985" s="139"/>
      <c r="E985" s="139"/>
      <c r="F985" s="139"/>
      <c r="G985" s="139"/>
    </row>
    <row r="986">
      <c r="D986" s="139"/>
      <c r="E986" s="139"/>
      <c r="F986" s="139"/>
      <c r="G986" s="139"/>
    </row>
    <row r="987">
      <c r="D987" s="139"/>
      <c r="E987" s="139"/>
      <c r="F987" s="139"/>
      <c r="G987" s="139"/>
    </row>
    <row r="988">
      <c r="D988" s="139"/>
      <c r="E988" s="139"/>
      <c r="F988" s="139"/>
      <c r="G988" s="139"/>
    </row>
    <row r="989">
      <c r="D989" s="139"/>
      <c r="E989" s="139"/>
      <c r="F989" s="139"/>
      <c r="G989" s="139"/>
    </row>
    <row r="990">
      <c r="D990" s="139"/>
      <c r="E990" s="139"/>
      <c r="F990" s="139"/>
      <c r="G990" s="139"/>
    </row>
    <row r="991">
      <c r="D991" s="139"/>
      <c r="E991" s="139"/>
      <c r="F991" s="139"/>
      <c r="G991" s="139"/>
    </row>
    <row r="992">
      <c r="D992" s="139"/>
      <c r="E992" s="139"/>
      <c r="F992" s="139"/>
      <c r="G992" s="139"/>
    </row>
    <row r="993">
      <c r="D993" s="139"/>
      <c r="E993" s="139"/>
      <c r="F993" s="139"/>
      <c r="G993" s="139"/>
    </row>
    <row r="994">
      <c r="D994" s="139"/>
      <c r="E994" s="139"/>
      <c r="F994" s="139"/>
      <c r="G994" s="139"/>
    </row>
    <row r="995">
      <c r="D995" s="139"/>
      <c r="E995" s="139"/>
      <c r="F995" s="139"/>
      <c r="G995" s="139"/>
    </row>
    <row r="996">
      <c r="D996" s="139"/>
      <c r="E996" s="139"/>
      <c r="F996" s="139"/>
      <c r="G996" s="139"/>
    </row>
    <row r="997">
      <c r="D997" s="139"/>
      <c r="E997" s="139"/>
      <c r="F997" s="139"/>
      <c r="G997" s="139"/>
    </row>
    <row r="998">
      <c r="D998" s="139"/>
      <c r="E998" s="139"/>
      <c r="F998" s="139"/>
      <c r="G998" s="139"/>
    </row>
    <row r="999">
      <c r="D999" s="139"/>
      <c r="E999" s="139"/>
      <c r="F999" s="139"/>
      <c r="G999" s="139"/>
    </row>
    <row r="1000">
      <c r="D1000" s="139"/>
      <c r="E1000" s="139"/>
      <c r="F1000" s="139"/>
      <c r="G1000" s="139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Col="1"/>
  <cols>
    <col customWidth="1" min="2" max="2" width="24.13"/>
  </cols>
  <sheetData>
    <row r="2">
      <c r="B2" s="143" t="s">
        <v>18</v>
      </c>
      <c r="C2" s="30" t="str">
        <f>IFERROR(__xludf.DUMMYFUNCTION("importrange(""1qbCrAH1d83GWQFvX-cN_uGFj-amAiP4g4ze9J1cPUec)"",""'Punkti quali līnija'!D1"")"),"Armands")</f>
        <v>Armands</v>
      </c>
    </row>
    <row r="3">
      <c r="B3" s="143" t="s">
        <v>19</v>
      </c>
      <c r="C3" s="30" t="str">
        <f>IFERROR(__xludf.DUMMYFUNCTION("importrange(""1qbCrAH1d83GWQFvX-cN_uGFj-amAiP4g4ze9J1cPUec)"",""'Punkti quali lenķis'!D1"")"),"Edgars")</f>
        <v>Edgars</v>
      </c>
    </row>
    <row r="4">
      <c r="B4" s="143" t="s">
        <v>20</v>
      </c>
      <c r="C4" s="30" t="str">
        <f>IFERROR(__xludf.DUMMYFUNCTION("importrange(""1qbCrAH1d83GWQFvX-cN_uGFj-amAiP4g4ze9J1cPUec)"",""'Punkti quali Stils'!D1"")"),"Danila")</f>
        <v>Danila</v>
      </c>
    </row>
    <row r="6">
      <c r="B6" s="143" t="s">
        <v>21</v>
      </c>
    </row>
    <row r="7">
      <c r="B7" s="143" t="s">
        <v>22</v>
      </c>
    </row>
    <row r="8">
      <c r="B8" s="143" t="s">
        <v>23</v>
      </c>
    </row>
    <row r="9">
      <c r="B9" s="143" t="s">
        <v>24</v>
      </c>
    </row>
    <row r="10">
      <c r="B10" s="30" t="str">
        <f>"+371 26886697"</f>
        <v>+371 26886697</v>
      </c>
    </row>
  </sheetData>
  <drawing r:id="rId1"/>
</worksheet>
</file>